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Charter Schools\!!FEFP\FY 26 - FEFP Funding\!Payments 2025-26\2026-01\"/>
    </mc:Choice>
  </mc:AlternateContent>
  <xr:revisionPtr revIDLastSave="0" documentId="13_ncr:1_{13BF3A91-6F53-4511-BD29-0F6CC3602992}" xr6:coauthVersionLast="47" xr6:coauthVersionMax="47" xr10:uidLastSave="{00000000-0000-0000-0000-000000000000}"/>
  <bookViews>
    <workbookView xWindow="28680" yWindow="-120" windowWidth="29040" windowHeight="15720" firstSheet="11" activeTab="20" xr2:uid="{AC5166CD-0E15-4FB2-A94B-C43704B0BED5}"/>
  </bookViews>
  <sheets>
    <sheet name="Net Payment" sheetId="106" r:id="rId1"/>
    <sheet name="Annual Rev &amp; Fees" sheetId="54" r:id="rId2"/>
    <sheet name="Charter Schools" sheetId="55" r:id="rId3"/>
    <sheet name="Cumulative Payments" sheetId="57" state="hidden" r:id="rId4"/>
    <sheet name="Consolidated" sheetId="56" r:id="rId5"/>
    <sheet name="0040" sheetId="2" r:id="rId6"/>
    <sheet name="0571" sheetId="107" r:id="rId7"/>
    <sheet name="0100" sheetId="58" r:id="rId8"/>
    <sheet name="1461" sheetId="59" r:id="rId9"/>
    <sheet name="1571" sheetId="60" r:id="rId10"/>
    <sheet name="2521" sheetId="61" r:id="rId11"/>
    <sheet name="2531" sheetId="62" r:id="rId12"/>
    <sheet name="2791" sheetId="63" r:id="rId13"/>
    <sheet name="2801" sheetId="64" r:id="rId14"/>
    <sheet name="2911" sheetId="65" r:id="rId15"/>
    <sheet name="2941" sheetId="66" r:id="rId16"/>
    <sheet name="3083" sheetId="67" r:id="rId17"/>
    <sheet name="3345" sheetId="68" r:id="rId18"/>
    <sheet name="3362" sheetId="108" r:id="rId19"/>
    <sheet name="3381" sheetId="69" r:id="rId20"/>
    <sheet name="3382" sheetId="70" r:id="rId21"/>
    <sheet name="3391" sheetId="71" r:id="rId22"/>
    <sheet name="3394" sheetId="72" r:id="rId23"/>
    <sheet name="3395" sheetId="73" r:id="rId24"/>
    <sheet name="3396" sheetId="74" r:id="rId25"/>
    <sheet name="3398" sheetId="75" r:id="rId26"/>
    <sheet name="3400" sheetId="76" r:id="rId27"/>
    <sheet name="3401" sheetId="77" r:id="rId28"/>
    <sheet name="3413" sheetId="78" r:id="rId29"/>
    <sheet name="3421" sheetId="79" r:id="rId30"/>
    <sheet name="3431" sheetId="80" r:id="rId31"/>
    <sheet name="3441" sheetId="81" r:id="rId32"/>
    <sheet name="3924" sheetId="82" r:id="rId33"/>
    <sheet name="3941" sheetId="83" r:id="rId34"/>
    <sheet name="3961" sheetId="84" r:id="rId35"/>
    <sheet name="3971" sheetId="85" r:id="rId36"/>
    <sheet name="4001" sheetId="86" r:id="rId37"/>
    <sheet name="4002" sheetId="87" r:id="rId38"/>
    <sheet name="4012" sheetId="88" r:id="rId39"/>
    <sheet name="4013" sheetId="89" r:id="rId40"/>
    <sheet name="4020" sheetId="90" r:id="rId41"/>
    <sheet name="4030" sheetId="91" r:id="rId42"/>
    <sheet name="4031" sheetId="92" r:id="rId43"/>
    <sheet name="4041" sheetId="93" r:id="rId44"/>
    <sheet name="4050" sheetId="94" r:id="rId45"/>
    <sheet name="4051" sheetId="95" r:id="rId46"/>
    <sheet name="4061" sheetId="96" r:id="rId47"/>
    <sheet name="4080" sheetId="97" r:id="rId48"/>
    <sheet name="4081" sheetId="98" r:id="rId49"/>
    <sheet name="4090" sheetId="99" r:id="rId50"/>
    <sheet name="4091" sheetId="100" r:id="rId51"/>
    <sheet name="4100" sheetId="101" r:id="rId52"/>
    <sheet name="4102" sheetId="102" r:id="rId53"/>
    <sheet name="4103" sheetId="103" r:id="rId54"/>
    <sheet name="4111" sheetId="104" r:id="rId55"/>
    <sheet name="4131" sheetId="105" r:id="rId56"/>
  </sheets>
  <externalReferences>
    <externalReference r:id="rId57"/>
    <externalReference r:id="rId58"/>
  </externalReferences>
  <definedNames>
    <definedName name="_1" localSheetId="7">'0100'!$A$11</definedName>
    <definedName name="_1" localSheetId="6">'0571'!$A$11</definedName>
    <definedName name="_1" localSheetId="8">'1461'!$A$11</definedName>
    <definedName name="_1" localSheetId="9">'1571'!$A$11</definedName>
    <definedName name="_1" localSheetId="10">'2521'!$A$11</definedName>
    <definedName name="_1" localSheetId="11">'2531'!$A$11</definedName>
    <definedName name="_1" localSheetId="12">'2791'!$A$11</definedName>
    <definedName name="_1" localSheetId="13">'2801'!$A$11</definedName>
    <definedName name="_1" localSheetId="14">'2911'!$A$11</definedName>
    <definedName name="_1" localSheetId="15">'2941'!$A$11</definedName>
    <definedName name="_1" localSheetId="16">'3083'!$A$11</definedName>
    <definedName name="_1" localSheetId="17">'3345'!$A$11</definedName>
    <definedName name="_1" localSheetId="18">'3362'!$A$11</definedName>
    <definedName name="_1" localSheetId="19">'3381'!$A$11</definedName>
    <definedName name="_1" localSheetId="20">'3382'!$A$11</definedName>
    <definedName name="_1" localSheetId="21">'3391'!$A$11</definedName>
    <definedName name="_1" localSheetId="22">'3394'!$A$11</definedName>
    <definedName name="_1" localSheetId="23">'3395'!$A$11</definedName>
    <definedName name="_1" localSheetId="24">'3396'!$A$11</definedName>
    <definedName name="_1" localSheetId="25">'3398'!$A$11</definedName>
    <definedName name="_1" localSheetId="26">'3400'!$A$11</definedName>
    <definedName name="_1" localSheetId="27">'3401'!$A$11</definedName>
    <definedName name="_1" localSheetId="28">'3413'!$A$11</definedName>
    <definedName name="_1" localSheetId="29">'3421'!$A$11</definedName>
    <definedName name="_1" localSheetId="30">'3431'!$A$11</definedName>
    <definedName name="_1" localSheetId="31">'3441'!$A$11</definedName>
    <definedName name="_1" localSheetId="32">'3924'!$A$11</definedName>
    <definedName name="_1" localSheetId="33">'3941'!$A$11</definedName>
    <definedName name="_1" localSheetId="34">'3961'!$A$11</definedName>
    <definedName name="_1" localSheetId="35">'3971'!$A$11</definedName>
    <definedName name="_1" localSheetId="36">'4001'!$A$11</definedName>
    <definedName name="_1" localSheetId="37">'4002'!$A$11</definedName>
    <definedName name="_1" localSheetId="38">'4012'!$A$11</definedName>
    <definedName name="_1" localSheetId="39">'4013'!$A$11</definedName>
    <definedName name="_1" localSheetId="40">'4020'!$A$11</definedName>
    <definedName name="_1" localSheetId="41">'4030'!$A$11</definedName>
    <definedName name="_1" localSheetId="42">'4031'!$A$11</definedName>
    <definedName name="_1" localSheetId="43">'4041'!$A$11</definedName>
    <definedName name="_1" localSheetId="44">'4050'!$A$11</definedName>
    <definedName name="_1" localSheetId="45">'4051'!$A$11</definedName>
    <definedName name="_1" localSheetId="46">'4061'!$A$11</definedName>
    <definedName name="_1" localSheetId="47">'4080'!$A$11</definedName>
    <definedName name="_1" localSheetId="48">'4081'!$A$11</definedName>
    <definedName name="_1" localSheetId="49">'4090'!$A$11</definedName>
    <definedName name="_1" localSheetId="50">'4091'!$A$11</definedName>
    <definedName name="_1" localSheetId="51">'4100'!$A$11</definedName>
    <definedName name="_1" localSheetId="52">'4102'!$A$11</definedName>
    <definedName name="_1" localSheetId="53">'4103'!$A$11</definedName>
    <definedName name="_1" localSheetId="54">'4111'!$A$11</definedName>
    <definedName name="_1" localSheetId="55">'4131'!$A$11</definedName>
    <definedName name="_1">'0040'!$A$11</definedName>
    <definedName name="_1.__2009_10_FEFP_State_and_Local_Funding" localSheetId="7">'0100'!$A$5</definedName>
    <definedName name="_1.__2009_10_FEFP_State_and_Local_Funding" localSheetId="6">'0571'!$A$5</definedName>
    <definedName name="_1.__2009_10_FEFP_State_and_Local_Funding" localSheetId="8">'1461'!$A$5</definedName>
    <definedName name="_1.__2009_10_FEFP_State_and_Local_Funding" localSheetId="9">'1571'!$A$5</definedName>
    <definedName name="_1.__2009_10_FEFP_State_and_Local_Funding" localSheetId="10">'2521'!$A$5</definedName>
    <definedName name="_1.__2009_10_FEFP_State_and_Local_Funding" localSheetId="11">'2531'!$A$5</definedName>
    <definedName name="_1.__2009_10_FEFP_State_and_Local_Funding" localSheetId="12">'2791'!$A$5</definedName>
    <definedName name="_1.__2009_10_FEFP_State_and_Local_Funding" localSheetId="13">'2801'!$A$5</definedName>
    <definedName name="_1.__2009_10_FEFP_State_and_Local_Funding" localSheetId="14">'2911'!$A$5</definedName>
    <definedName name="_1.__2009_10_FEFP_State_and_Local_Funding" localSheetId="15">'2941'!$A$5</definedName>
    <definedName name="_1.__2009_10_FEFP_State_and_Local_Funding" localSheetId="16">'3083'!$A$5</definedName>
    <definedName name="_1.__2009_10_FEFP_State_and_Local_Funding" localSheetId="17">'3345'!$A$5</definedName>
    <definedName name="_1.__2009_10_FEFP_State_and_Local_Funding" localSheetId="18">'3362'!$A$5</definedName>
    <definedName name="_1.__2009_10_FEFP_State_and_Local_Funding" localSheetId="19">'3381'!$A$5</definedName>
    <definedName name="_1.__2009_10_FEFP_State_and_Local_Funding" localSheetId="20">'3382'!$A$5</definedName>
    <definedName name="_1.__2009_10_FEFP_State_and_Local_Funding" localSheetId="21">'3391'!$A$5</definedName>
    <definedName name="_1.__2009_10_FEFP_State_and_Local_Funding" localSheetId="22">'3394'!$A$5</definedName>
    <definedName name="_1.__2009_10_FEFP_State_and_Local_Funding" localSheetId="23">'3395'!$A$5</definedName>
    <definedName name="_1.__2009_10_FEFP_State_and_Local_Funding" localSheetId="24">'3396'!$A$5</definedName>
    <definedName name="_1.__2009_10_FEFP_State_and_Local_Funding" localSheetId="25">'3398'!$A$5</definedName>
    <definedName name="_1.__2009_10_FEFP_State_and_Local_Funding" localSheetId="26">'3400'!$A$5</definedName>
    <definedName name="_1.__2009_10_FEFP_State_and_Local_Funding" localSheetId="27">'3401'!$A$5</definedName>
    <definedName name="_1.__2009_10_FEFP_State_and_Local_Funding" localSheetId="28">'3413'!$A$5</definedName>
    <definedName name="_1.__2009_10_FEFP_State_and_Local_Funding" localSheetId="29">'3421'!$A$5</definedName>
    <definedName name="_1.__2009_10_FEFP_State_and_Local_Funding" localSheetId="30">'3431'!$A$5</definedName>
    <definedName name="_1.__2009_10_FEFP_State_and_Local_Funding" localSheetId="31">'3441'!$A$5</definedName>
    <definedName name="_1.__2009_10_FEFP_State_and_Local_Funding" localSheetId="32">'3924'!$A$5</definedName>
    <definedName name="_1.__2009_10_FEFP_State_and_Local_Funding" localSheetId="33">'3941'!$A$5</definedName>
    <definedName name="_1.__2009_10_FEFP_State_and_Local_Funding" localSheetId="34">'3961'!$A$5</definedName>
    <definedName name="_1.__2009_10_FEFP_State_and_Local_Funding" localSheetId="35">'3971'!$A$5</definedName>
    <definedName name="_1.__2009_10_FEFP_State_and_Local_Funding" localSheetId="36">'4001'!$A$5</definedName>
    <definedName name="_1.__2009_10_FEFP_State_and_Local_Funding" localSheetId="37">'4002'!$A$5</definedName>
    <definedName name="_1.__2009_10_FEFP_State_and_Local_Funding" localSheetId="38">'4012'!$A$5</definedName>
    <definedName name="_1.__2009_10_FEFP_State_and_Local_Funding" localSheetId="39">'4013'!$A$5</definedName>
    <definedName name="_1.__2009_10_FEFP_State_and_Local_Funding" localSheetId="40">'4020'!$A$5</definedName>
    <definedName name="_1.__2009_10_FEFP_State_and_Local_Funding" localSheetId="41">'4030'!$A$5</definedName>
    <definedName name="_1.__2009_10_FEFP_State_and_Local_Funding" localSheetId="42">'4031'!$A$5</definedName>
    <definedName name="_1.__2009_10_FEFP_State_and_Local_Funding" localSheetId="43">'4041'!$A$5</definedName>
    <definedName name="_1.__2009_10_FEFP_State_and_Local_Funding" localSheetId="44">'4050'!$A$5</definedName>
    <definedName name="_1.__2009_10_FEFP_State_and_Local_Funding" localSheetId="45">'4051'!$A$5</definedName>
    <definedName name="_1.__2009_10_FEFP_State_and_Local_Funding" localSheetId="46">'4061'!$A$5</definedName>
    <definedName name="_1.__2009_10_FEFP_State_and_Local_Funding" localSheetId="47">'4080'!$A$5</definedName>
    <definedName name="_1.__2009_10_FEFP_State_and_Local_Funding" localSheetId="48">'4081'!$A$5</definedName>
    <definedName name="_1.__2009_10_FEFP_State_and_Local_Funding" localSheetId="49">'4090'!$A$5</definedName>
    <definedName name="_1.__2009_10_FEFP_State_and_Local_Funding" localSheetId="50">'4091'!$A$5</definedName>
    <definedName name="_1.__2009_10_FEFP_State_and_Local_Funding" localSheetId="51">'4100'!$A$5</definedName>
    <definedName name="_1.__2009_10_FEFP_State_and_Local_Funding" localSheetId="52">'4102'!$A$5</definedName>
    <definedName name="_1.__2009_10_FEFP_State_and_Local_Funding" localSheetId="53">'4103'!$A$5</definedName>
    <definedName name="_1.__2009_10_FEFP_State_and_Local_Funding" localSheetId="54">'4111'!$A$5</definedName>
    <definedName name="_1.__2009_10_FEFP_State_and_Local_Funding" localSheetId="55">'4131'!$A$5</definedName>
    <definedName name="_1.__2009_10_FEFP_State_and_Local_Funding">'0040'!$A$5</definedName>
    <definedName name="_1.__2010_11_FEFP_State_and_Local_Funding" localSheetId="7">'0100'!$A$5</definedName>
    <definedName name="_1.__2010_11_FEFP_State_and_Local_Funding" localSheetId="6">'0571'!$A$5</definedName>
    <definedName name="_1.__2010_11_FEFP_State_and_Local_Funding" localSheetId="8">'1461'!$A$5</definedName>
    <definedName name="_1.__2010_11_FEFP_State_and_Local_Funding" localSheetId="9">'1571'!$A$5</definedName>
    <definedName name="_1.__2010_11_FEFP_State_and_Local_Funding" localSheetId="10">'2521'!$A$5</definedName>
    <definedName name="_1.__2010_11_FEFP_State_and_Local_Funding" localSheetId="11">'2531'!$A$5</definedName>
    <definedName name="_1.__2010_11_FEFP_State_and_Local_Funding" localSheetId="12">'2791'!$A$5</definedName>
    <definedName name="_1.__2010_11_FEFP_State_and_Local_Funding" localSheetId="13">'2801'!$A$5</definedName>
    <definedName name="_1.__2010_11_FEFP_State_and_Local_Funding" localSheetId="14">'2911'!$A$5</definedName>
    <definedName name="_1.__2010_11_FEFP_State_and_Local_Funding" localSheetId="15">'2941'!$A$5</definedName>
    <definedName name="_1.__2010_11_FEFP_State_and_Local_Funding" localSheetId="16">'3083'!$A$5</definedName>
    <definedName name="_1.__2010_11_FEFP_State_and_Local_Funding" localSheetId="17">'3345'!$A$5</definedName>
    <definedName name="_1.__2010_11_FEFP_State_and_Local_Funding" localSheetId="18">'3362'!$A$5</definedName>
    <definedName name="_1.__2010_11_FEFP_State_and_Local_Funding" localSheetId="19">'3381'!$A$5</definedName>
    <definedName name="_1.__2010_11_FEFP_State_and_Local_Funding" localSheetId="20">'3382'!$A$5</definedName>
    <definedName name="_1.__2010_11_FEFP_State_and_Local_Funding" localSheetId="21">'3391'!$A$5</definedName>
    <definedName name="_1.__2010_11_FEFP_State_and_Local_Funding" localSheetId="22">'3394'!$A$5</definedName>
    <definedName name="_1.__2010_11_FEFP_State_and_Local_Funding" localSheetId="23">'3395'!$A$5</definedName>
    <definedName name="_1.__2010_11_FEFP_State_and_Local_Funding" localSheetId="24">'3396'!$A$5</definedName>
    <definedName name="_1.__2010_11_FEFP_State_and_Local_Funding" localSheetId="25">'3398'!$A$5</definedName>
    <definedName name="_1.__2010_11_FEFP_State_and_Local_Funding" localSheetId="26">'3400'!$A$5</definedName>
    <definedName name="_1.__2010_11_FEFP_State_and_Local_Funding" localSheetId="27">'3401'!$A$5</definedName>
    <definedName name="_1.__2010_11_FEFP_State_and_Local_Funding" localSheetId="28">'3413'!$A$5</definedName>
    <definedName name="_1.__2010_11_FEFP_State_and_Local_Funding" localSheetId="29">'3421'!$A$5</definedName>
    <definedName name="_1.__2010_11_FEFP_State_and_Local_Funding" localSheetId="30">'3431'!$A$5</definedName>
    <definedName name="_1.__2010_11_FEFP_State_and_Local_Funding" localSheetId="31">'3441'!$A$5</definedName>
    <definedName name="_1.__2010_11_FEFP_State_and_Local_Funding" localSheetId="32">'3924'!$A$5</definedName>
    <definedName name="_1.__2010_11_FEFP_State_and_Local_Funding" localSheetId="33">'3941'!$A$5</definedName>
    <definedName name="_1.__2010_11_FEFP_State_and_Local_Funding" localSheetId="34">'3961'!$A$5</definedName>
    <definedName name="_1.__2010_11_FEFP_State_and_Local_Funding" localSheetId="35">'3971'!$A$5</definedName>
    <definedName name="_1.__2010_11_FEFP_State_and_Local_Funding" localSheetId="36">'4001'!$A$5</definedName>
    <definedName name="_1.__2010_11_FEFP_State_and_Local_Funding" localSheetId="37">'4002'!$A$5</definedName>
    <definedName name="_1.__2010_11_FEFP_State_and_Local_Funding" localSheetId="38">'4012'!$A$5</definedName>
    <definedName name="_1.__2010_11_FEFP_State_and_Local_Funding" localSheetId="39">'4013'!$A$5</definedName>
    <definedName name="_1.__2010_11_FEFP_State_and_Local_Funding" localSheetId="40">'4020'!$A$5</definedName>
    <definedName name="_1.__2010_11_FEFP_State_and_Local_Funding" localSheetId="41">'4030'!$A$5</definedName>
    <definedName name="_1.__2010_11_FEFP_State_and_Local_Funding" localSheetId="42">'4031'!$A$5</definedName>
    <definedName name="_1.__2010_11_FEFP_State_and_Local_Funding" localSheetId="43">'4041'!$A$5</definedName>
    <definedName name="_1.__2010_11_FEFP_State_and_Local_Funding" localSheetId="44">'4050'!$A$5</definedName>
    <definedName name="_1.__2010_11_FEFP_State_and_Local_Funding" localSheetId="45">'4051'!$A$5</definedName>
    <definedName name="_1.__2010_11_FEFP_State_and_Local_Funding" localSheetId="46">'4061'!$A$5</definedName>
    <definedName name="_1.__2010_11_FEFP_State_and_Local_Funding" localSheetId="47">'4080'!$A$5</definedName>
    <definedName name="_1.__2010_11_FEFP_State_and_Local_Funding" localSheetId="48">'4081'!$A$5</definedName>
    <definedName name="_1.__2010_11_FEFP_State_and_Local_Funding" localSheetId="49">'4090'!$A$5</definedName>
    <definedName name="_1.__2010_11_FEFP_State_and_Local_Funding" localSheetId="50">'4091'!$A$5</definedName>
    <definedName name="_1.__2010_11_FEFP_State_and_Local_Funding" localSheetId="51">'4100'!$A$5</definedName>
    <definedName name="_1.__2010_11_FEFP_State_and_Local_Funding" localSheetId="52">'4102'!$A$5</definedName>
    <definedName name="_1.__2010_11_FEFP_State_and_Local_Funding" localSheetId="53">'4103'!$A$5</definedName>
    <definedName name="_1.__2010_11_FEFP_State_and_Local_Funding" localSheetId="54">'4111'!$A$5</definedName>
    <definedName name="_1.__2010_11_FEFP_State_and_Local_Funding" localSheetId="55">'4131'!$A$5</definedName>
    <definedName name="_1.__2010_11_FEFP_State_and_Local_Funding">'0040'!$A$5</definedName>
    <definedName name="_101_Basic_K_3" localSheetId="7">'0100'!$A$12</definedName>
    <definedName name="_101_Basic_K_3" localSheetId="6">'0571'!$A$12</definedName>
    <definedName name="_101_Basic_K_3" localSheetId="8">'1461'!$A$12</definedName>
    <definedName name="_101_Basic_K_3" localSheetId="9">'1571'!$A$12</definedName>
    <definedName name="_101_Basic_K_3" localSheetId="10">'2521'!$A$12</definedName>
    <definedName name="_101_Basic_K_3" localSheetId="11">'2531'!$A$12</definedName>
    <definedName name="_101_Basic_K_3" localSheetId="12">'2791'!$A$12</definedName>
    <definedName name="_101_Basic_K_3" localSheetId="13">'2801'!$A$12</definedName>
    <definedName name="_101_Basic_K_3" localSheetId="14">'2911'!$A$12</definedName>
    <definedName name="_101_Basic_K_3" localSheetId="15">'2941'!$A$12</definedName>
    <definedName name="_101_Basic_K_3" localSheetId="16">'3083'!$A$12</definedName>
    <definedName name="_101_Basic_K_3" localSheetId="17">'3345'!$A$12</definedName>
    <definedName name="_101_Basic_K_3" localSheetId="18">'3362'!$A$12</definedName>
    <definedName name="_101_Basic_K_3" localSheetId="19">'3381'!$A$12</definedName>
    <definedName name="_101_Basic_K_3" localSheetId="20">'3382'!$A$12</definedName>
    <definedName name="_101_Basic_K_3" localSheetId="21">'3391'!$A$12</definedName>
    <definedName name="_101_Basic_K_3" localSheetId="22">'3394'!$A$12</definedName>
    <definedName name="_101_Basic_K_3" localSheetId="23">'3395'!$A$12</definedName>
    <definedName name="_101_Basic_K_3" localSheetId="24">'3396'!$A$12</definedName>
    <definedName name="_101_Basic_K_3" localSheetId="25">'3398'!$A$12</definedName>
    <definedName name="_101_Basic_K_3" localSheetId="26">'3400'!$A$12</definedName>
    <definedName name="_101_Basic_K_3" localSheetId="27">'3401'!$A$12</definedName>
    <definedName name="_101_Basic_K_3" localSheetId="28">'3413'!$A$12</definedName>
    <definedName name="_101_Basic_K_3" localSheetId="29">'3421'!$A$12</definedName>
    <definedName name="_101_Basic_K_3" localSheetId="30">'3431'!$A$12</definedName>
    <definedName name="_101_Basic_K_3" localSheetId="31">'3441'!$A$12</definedName>
    <definedName name="_101_Basic_K_3" localSheetId="32">'3924'!$A$12</definedName>
    <definedName name="_101_Basic_K_3" localSheetId="33">'3941'!$A$12</definedName>
    <definedName name="_101_Basic_K_3" localSheetId="34">'3961'!$A$12</definedName>
    <definedName name="_101_Basic_K_3" localSheetId="35">'3971'!$A$12</definedName>
    <definedName name="_101_Basic_K_3" localSheetId="36">'4001'!$A$12</definedName>
    <definedName name="_101_Basic_K_3" localSheetId="37">'4002'!$A$12</definedName>
    <definedName name="_101_Basic_K_3" localSheetId="38">'4012'!$A$12</definedName>
    <definedName name="_101_Basic_K_3" localSheetId="39">'4013'!$A$12</definedName>
    <definedName name="_101_Basic_K_3" localSheetId="40">'4020'!$A$12</definedName>
    <definedName name="_101_Basic_K_3" localSheetId="41">'4030'!$A$12</definedName>
    <definedName name="_101_Basic_K_3" localSheetId="42">'4031'!$A$12</definedName>
    <definedName name="_101_Basic_K_3" localSheetId="43">'4041'!$A$12</definedName>
    <definedName name="_101_Basic_K_3" localSheetId="44">'4050'!$A$12</definedName>
    <definedName name="_101_Basic_K_3" localSheetId="45">'4051'!$A$12</definedName>
    <definedName name="_101_Basic_K_3" localSheetId="46">'4061'!$A$12</definedName>
    <definedName name="_101_Basic_K_3" localSheetId="47">'4080'!$A$12</definedName>
    <definedName name="_101_Basic_K_3" localSheetId="48">'4081'!$A$12</definedName>
    <definedName name="_101_Basic_K_3" localSheetId="49">'4090'!$A$12</definedName>
    <definedName name="_101_Basic_K_3" localSheetId="50">'4091'!$A$12</definedName>
    <definedName name="_101_Basic_K_3" localSheetId="51">'4100'!$A$12</definedName>
    <definedName name="_101_Basic_K_3" localSheetId="52">'4102'!$A$12</definedName>
    <definedName name="_101_Basic_K_3" localSheetId="53">'4103'!$A$12</definedName>
    <definedName name="_101_Basic_K_3" localSheetId="54">'4111'!$A$12</definedName>
    <definedName name="_101_Basic_K_3" localSheetId="55">'4131'!$A$12</definedName>
    <definedName name="_101_Basic_K_3">'0040'!$A$12</definedName>
    <definedName name="_102_Basic_4_8" localSheetId="7">'0100'!$A$14</definedName>
    <definedName name="_102_Basic_4_8" localSheetId="6">'0571'!$A$14</definedName>
    <definedName name="_102_Basic_4_8" localSheetId="8">'1461'!$A$14</definedName>
    <definedName name="_102_Basic_4_8" localSheetId="9">'1571'!$A$14</definedName>
    <definedName name="_102_Basic_4_8" localSheetId="10">'2521'!$A$14</definedName>
    <definedName name="_102_Basic_4_8" localSheetId="11">'2531'!$A$14</definedName>
    <definedName name="_102_Basic_4_8" localSheetId="12">'2791'!$A$14</definedName>
    <definedName name="_102_Basic_4_8" localSheetId="13">'2801'!$A$14</definedName>
    <definedName name="_102_Basic_4_8" localSheetId="14">'2911'!$A$14</definedName>
    <definedName name="_102_Basic_4_8" localSheetId="15">'2941'!$A$14</definedName>
    <definedName name="_102_Basic_4_8" localSheetId="16">'3083'!$A$14</definedName>
    <definedName name="_102_Basic_4_8" localSheetId="17">'3345'!$A$14</definedName>
    <definedName name="_102_Basic_4_8" localSheetId="18">'3362'!$A$14</definedName>
    <definedName name="_102_Basic_4_8" localSheetId="19">'3381'!$A$14</definedName>
    <definedName name="_102_Basic_4_8" localSheetId="20">'3382'!$A$14</definedName>
    <definedName name="_102_Basic_4_8" localSheetId="21">'3391'!$A$14</definedName>
    <definedName name="_102_Basic_4_8" localSheetId="22">'3394'!$A$14</definedName>
    <definedName name="_102_Basic_4_8" localSheetId="23">'3395'!$A$14</definedName>
    <definedName name="_102_Basic_4_8" localSheetId="24">'3396'!$A$14</definedName>
    <definedName name="_102_Basic_4_8" localSheetId="25">'3398'!$A$14</definedName>
    <definedName name="_102_Basic_4_8" localSheetId="26">'3400'!$A$14</definedName>
    <definedName name="_102_Basic_4_8" localSheetId="27">'3401'!$A$14</definedName>
    <definedName name="_102_Basic_4_8" localSheetId="28">'3413'!$A$14</definedName>
    <definedName name="_102_Basic_4_8" localSheetId="29">'3421'!$A$14</definedName>
    <definedName name="_102_Basic_4_8" localSheetId="30">'3431'!$A$14</definedName>
    <definedName name="_102_Basic_4_8" localSheetId="31">'3441'!$A$14</definedName>
    <definedName name="_102_Basic_4_8" localSheetId="32">'3924'!$A$14</definedName>
    <definedName name="_102_Basic_4_8" localSheetId="33">'3941'!$A$14</definedName>
    <definedName name="_102_Basic_4_8" localSheetId="34">'3961'!$A$14</definedName>
    <definedName name="_102_Basic_4_8" localSheetId="35">'3971'!$A$14</definedName>
    <definedName name="_102_Basic_4_8" localSheetId="36">'4001'!$A$14</definedName>
    <definedName name="_102_Basic_4_8" localSheetId="37">'4002'!$A$14</definedName>
    <definedName name="_102_Basic_4_8" localSheetId="38">'4012'!$A$14</definedName>
    <definedName name="_102_Basic_4_8" localSheetId="39">'4013'!$A$14</definedName>
    <definedName name="_102_Basic_4_8" localSheetId="40">'4020'!$A$14</definedName>
    <definedName name="_102_Basic_4_8" localSheetId="41">'4030'!$A$14</definedName>
    <definedName name="_102_Basic_4_8" localSheetId="42">'4031'!$A$14</definedName>
    <definedName name="_102_Basic_4_8" localSheetId="43">'4041'!$A$14</definedName>
    <definedName name="_102_Basic_4_8" localSheetId="44">'4050'!$A$14</definedName>
    <definedName name="_102_Basic_4_8" localSheetId="45">'4051'!$A$14</definedName>
    <definedName name="_102_Basic_4_8" localSheetId="46">'4061'!$A$14</definedName>
    <definedName name="_102_Basic_4_8" localSheetId="47">'4080'!$A$14</definedName>
    <definedName name="_102_Basic_4_8" localSheetId="48">'4081'!$A$14</definedName>
    <definedName name="_102_Basic_4_8" localSheetId="49">'4090'!$A$14</definedName>
    <definedName name="_102_Basic_4_8" localSheetId="50">'4091'!$A$14</definedName>
    <definedName name="_102_Basic_4_8" localSheetId="51">'4100'!$A$14</definedName>
    <definedName name="_102_Basic_4_8" localSheetId="52">'4102'!$A$14</definedName>
    <definedName name="_102_Basic_4_8" localSheetId="53">'4103'!$A$14</definedName>
    <definedName name="_102_Basic_4_8" localSheetId="54">'4111'!$A$14</definedName>
    <definedName name="_102_Basic_4_8" localSheetId="55">'4131'!$A$14</definedName>
    <definedName name="_102_Basic_4_8">'0040'!$A$14</definedName>
    <definedName name="_103_Basic_9_12" localSheetId="7">'0100'!$A$16</definedName>
    <definedName name="_103_Basic_9_12" localSheetId="6">'0571'!$A$16</definedName>
    <definedName name="_103_Basic_9_12" localSheetId="8">'1461'!$A$16</definedName>
    <definedName name="_103_Basic_9_12" localSheetId="9">'1571'!$A$16</definedName>
    <definedName name="_103_Basic_9_12" localSheetId="10">'2521'!$A$16</definedName>
    <definedName name="_103_Basic_9_12" localSheetId="11">'2531'!$A$16</definedName>
    <definedName name="_103_Basic_9_12" localSheetId="12">'2791'!$A$16</definedName>
    <definedName name="_103_Basic_9_12" localSheetId="13">'2801'!$A$16</definedName>
    <definedName name="_103_Basic_9_12" localSheetId="14">'2911'!$A$16</definedName>
    <definedName name="_103_Basic_9_12" localSheetId="15">'2941'!$A$16</definedName>
    <definedName name="_103_Basic_9_12" localSheetId="16">'3083'!$A$16</definedName>
    <definedName name="_103_Basic_9_12" localSheetId="17">'3345'!$A$16</definedName>
    <definedName name="_103_Basic_9_12" localSheetId="18">'3362'!$A$16</definedName>
    <definedName name="_103_Basic_9_12" localSheetId="19">'3381'!$A$16</definedName>
    <definedName name="_103_Basic_9_12" localSheetId="20">'3382'!$A$16</definedName>
    <definedName name="_103_Basic_9_12" localSheetId="21">'3391'!$A$16</definedName>
    <definedName name="_103_Basic_9_12" localSheetId="22">'3394'!$A$16</definedName>
    <definedName name="_103_Basic_9_12" localSheetId="23">'3395'!$A$16</definedName>
    <definedName name="_103_Basic_9_12" localSheetId="24">'3396'!$A$16</definedName>
    <definedName name="_103_Basic_9_12" localSheetId="25">'3398'!$A$16</definedName>
    <definedName name="_103_Basic_9_12" localSheetId="26">'3400'!$A$16</definedName>
    <definedName name="_103_Basic_9_12" localSheetId="27">'3401'!$A$16</definedName>
    <definedName name="_103_Basic_9_12" localSheetId="28">'3413'!$A$16</definedName>
    <definedName name="_103_Basic_9_12" localSheetId="29">'3421'!$A$16</definedName>
    <definedName name="_103_Basic_9_12" localSheetId="30">'3431'!$A$16</definedName>
    <definedName name="_103_Basic_9_12" localSheetId="31">'3441'!$A$16</definedName>
    <definedName name="_103_Basic_9_12" localSheetId="32">'3924'!$A$16</definedName>
    <definedName name="_103_Basic_9_12" localSheetId="33">'3941'!$A$16</definedName>
    <definedName name="_103_Basic_9_12" localSheetId="34">'3961'!$A$16</definedName>
    <definedName name="_103_Basic_9_12" localSheetId="35">'3971'!$A$16</definedName>
    <definedName name="_103_Basic_9_12" localSheetId="36">'4001'!$A$16</definedName>
    <definedName name="_103_Basic_9_12" localSheetId="37">'4002'!$A$16</definedName>
    <definedName name="_103_Basic_9_12" localSheetId="38">'4012'!$A$16</definedName>
    <definedName name="_103_Basic_9_12" localSheetId="39">'4013'!$A$16</definedName>
    <definedName name="_103_Basic_9_12" localSheetId="40">'4020'!$A$16</definedName>
    <definedName name="_103_Basic_9_12" localSheetId="41">'4030'!$A$16</definedName>
    <definedName name="_103_Basic_9_12" localSheetId="42">'4031'!$A$16</definedName>
    <definedName name="_103_Basic_9_12" localSheetId="43">'4041'!$A$16</definedName>
    <definedName name="_103_Basic_9_12" localSheetId="44">'4050'!$A$16</definedName>
    <definedName name="_103_Basic_9_12" localSheetId="45">'4051'!$A$16</definedName>
    <definedName name="_103_Basic_9_12" localSheetId="46">'4061'!$A$16</definedName>
    <definedName name="_103_Basic_9_12" localSheetId="47">'4080'!$A$16</definedName>
    <definedName name="_103_Basic_9_12" localSheetId="48">'4081'!$A$16</definedName>
    <definedName name="_103_Basic_9_12" localSheetId="49">'4090'!$A$16</definedName>
    <definedName name="_103_Basic_9_12" localSheetId="50">'4091'!$A$16</definedName>
    <definedName name="_103_Basic_9_12" localSheetId="51">'4100'!$A$16</definedName>
    <definedName name="_103_Basic_9_12" localSheetId="52">'4102'!$A$16</definedName>
    <definedName name="_103_Basic_9_12" localSheetId="53">'4103'!$A$16</definedName>
    <definedName name="_103_Basic_9_12" localSheetId="54">'4111'!$A$16</definedName>
    <definedName name="_103_Basic_9_12" localSheetId="55">'4131'!$A$16</definedName>
    <definedName name="_103_Basic_9_12">'0040'!$A$16</definedName>
    <definedName name="_111_Basic_K_3_with_ESE_Services" localSheetId="7">'0100'!$A$13</definedName>
    <definedName name="_111_Basic_K_3_with_ESE_Services" localSheetId="6">'0571'!$A$13</definedName>
    <definedName name="_111_Basic_K_3_with_ESE_Services" localSheetId="8">'1461'!$A$13</definedName>
    <definedName name="_111_Basic_K_3_with_ESE_Services" localSheetId="9">'1571'!$A$13</definedName>
    <definedName name="_111_Basic_K_3_with_ESE_Services" localSheetId="10">'2521'!$A$13</definedName>
    <definedName name="_111_Basic_K_3_with_ESE_Services" localSheetId="11">'2531'!$A$13</definedName>
    <definedName name="_111_Basic_K_3_with_ESE_Services" localSheetId="12">'2791'!$A$13</definedName>
    <definedName name="_111_Basic_K_3_with_ESE_Services" localSheetId="13">'2801'!$A$13</definedName>
    <definedName name="_111_Basic_K_3_with_ESE_Services" localSheetId="14">'2911'!$A$13</definedName>
    <definedName name="_111_Basic_K_3_with_ESE_Services" localSheetId="15">'2941'!$A$13</definedName>
    <definedName name="_111_Basic_K_3_with_ESE_Services" localSheetId="16">'3083'!$A$13</definedName>
    <definedName name="_111_Basic_K_3_with_ESE_Services" localSheetId="17">'3345'!$A$13</definedName>
    <definedName name="_111_Basic_K_3_with_ESE_Services" localSheetId="18">'3362'!$A$13</definedName>
    <definedName name="_111_Basic_K_3_with_ESE_Services" localSheetId="19">'3381'!$A$13</definedName>
    <definedName name="_111_Basic_K_3_with_ESE_Services" localSheetId="20">'3382'!$A$13</definedName>
    <definedName name="_111_Basic_K_3_with_ESE_Services" localSheetId="21">'3391'!$A$13</definedName>
    <definedName name="_111_Basic_K_3_with_ESE_Services" localSheetId="22">'3394'!$A$13</definedName>
    <definedName name="_111_Basic_K_3_with_ESE_Services" localSheetId="23">'3395'!$A$13</definedName>
    <definedName name="_111_Basic_K_3_with_ESE_Services" localSheetId="24">'3396'!$A$13</definedName>
    <definedName name="_111_Basic_K_3_with_ESE_Services" localSheetId="25">'3398'!$A$13</definedName>
    <definedName name="_111_Basic_K_3_with_ESE_Services" localSheetId="26">'3400'!$A$13</definedName>
    <definedName name="_111_Basic_K_3_with_ESE_Services" localSheetId="27">'3401'!$A$13</definedName>
    <definedName name="_111_Basic_K_3_with_ESE_Services" localSheetId="28">'3413'!$A$13</definedName>
    <definedName name="_111_Basic_K_3_with_ESE_Services" localSheetId="29">'3421'!$A$13</definedName>
    <definedName name="_111_Basic_K_3_with_ESE_Services" localSheetId="30">'3431'!$A$13</definedName>
    <definedName name="_111_Basic_K_3_with_ESE_Services" localSheetId="31">'3441'!$A$13</definedName>
    <definedName name="_111_Basic_K_3_with_ESE_Services" localSheetId="32">'3924'!$A$13</definedName>
    <definedName name="_111_Basic_K_3_with_ESE_Services" localSheetId="33">'3941'!$A$13</definedName>
    <definedName name="_111_Basic_K_3_with_ESE_Services" localSheetId="34">'3961'!$A$13</definedName>
    <definedName name="_111_Basic_K_3_with_ESE_Services" localSheetId="35">'3971'!$A$13</definedName>
    <definedName name="_111_Basic_K_3_with_ESE_Services" localSheetId="36">'4001'!$A$13</definedName>
    <definedName name="_111_Basic_K_3_with_ESE_Services" localSheetId="37">'4002'!$A$13</definedName>
    <definedName name="_111_Basic_K_3_with_ESE_Services" localSheetId="38">'4012'!$A$13</definedName>
    <definedName name="_111_Basic_K_3_with_ESE_Services" localSheetId="39">'4013'!$A$13</definedName>
    <definedName name="_111_Basic_K_3_with_ESE_Services" localSheetId="40">'4020'!$A$13</definedName>
    <definedName name="_111_Basic_K_3_with_ESE_Services" localSheetId="41">'4030'!$A$13</definedName>
    <definedName name="_111_Basic_K_3_with_ESE_Services" localSheetId="42">'4031'!$A$13</definedName>
    <definedName name="_111_Basic_K_3_with_ESE_Services" localSheetId="43">'4041'!$A$13</definedName>
    <definedName name="_111_Basic_K_3_with_ESE_Services" localSheetId="44">'4050'!$A$13</definedName>
    <definedName name="_111_Basic_K_3_with_ESE_Services" localSheetId="45">'4051'!$A$13</definedName>
    <definedName name="_111_Basic_K_3_with_ESE_Services" localSheetId="46">'4061'!$A$13</definedName>
    <definedName name="_111_Basic_K_3_with_ESE_Services" localSheetId="47">'4080'!$A$13</definedName>
    <definedName name="_111_Basic_K_3_with_ESE_Services" localSheetId="48">'4081'!$A$13</definedName>
    <definedName name="_111_Basic_K_3_with_ESE_Services" localSheetId="49">'4090'!$A$13</definedName>
    <definedName name="_111_Basic_K_3_with_ESE_Services" localSheetId="50">'4091'!$A$13</definedName>
    <definedName name="_111_Basic_K_3_with_ESE_Services" localSheetId="51">'4100'!$A$13</definedName>
    <definedName name="_111_Basic_K_3_with_ESE_Services" localSheetId="52">'4102'!$A$13</definedName>
    <definedName name="_111_Basic_K_3_with_ESE_Services" localSheetId="53">'4103'!$A$13</definedName>
    <definedName name="_111_Basic_K_3_with_ESE_Services" localSheetId="54">'4111'!$A$13</definedName>
    <definedName name="_111_Basic_K_3_with_ESE_Services" localSheetId="55">'4131'!$A$13</definedName>
    <definedName name="_111_Basic_K_3_with_ESE_Services">'0040'!$A$13</definedName>
    <definedName name="_112_Basic_4_8_with_ESE_Services" localSheetId="7">'0100'!$A$15</definedName>
    <definedName name="_112_Basic_4_8_with_ESE_Services" localSheetId="6">'0571'!$A$15</definedName>
    <definedName name="_112_Basic_4_8_with_ESE_Services" localSheetId="8">'1461'!$A$15</definedName>
    <definedName name="_112_Basic_4_8_with_ESE_Services" localSheetId="9">'1571'!$A$15</definedName>
    <definedName name="_112_Basic_4_8_with_ESE_Services" localSheetId="10">'2521'!$A$15</definedName>
    <definedName name="_112_Basic_4_8_with_ESE_Services" localSheetId="11">'2531'!$A$15</definedName>
    <definedName name="_112_Basic_4_8_with_ESE_Services" localSheetId="12">'2791'!$A$15</definedName>
    <definedName name="_112_Basic_4_8_with_ESE_Services" localSheetId="13">'2801'!$A$15</definedName>
    <definedName name="_112_Basic_4_8_with_ESE_Services" localSheetId="14">'2911'!$A$15</definedName>
    <definedName name="_112_Basic_4_8_with_ESE_Services" localSheetId="15">'2941'!$A$15</definedName>
    <definedName name="_112_Basic_4_8_with_ESE_Services" localSheetId="16">'3083'!$A$15</definedName>
    <definedName name="_112_Basic_4_8_with_ESE_Services" localSheetId="17">'3345'!$A$15</definedName>
    <definedName name="_112_Basic_4_8_with_ESE_Services" localSheetId="18">'3362'!$A$15</definedName>
    <definedName name="_112_Basic_4_8_with_ESE_Services" localSheetId="19">'3381'!$A$15</definedName>
    <definedName name="_112_Basic_4_8_with_ESE_Services" localSheetId="20">'3382'!$A$15</definedName>
    <definedName name="_112_Basic_4_8_with_ESE_Services" localSheetId="21">'3391'!$A$15</definedName>
    <definedName name="_112_Basic_4_8_with_ESE_Services" localSheetId="22">'3394'!$A$15</definedName>
    <definedName name="_112_Basic_4_8_with_ESE_Services" localSheetId="23">'3395'!$A$15</definedName>
    <definedName name="_112_Basic_4_8_with_ESE_Services" localSheetId="24">'3396'!$A$15</definedName>
    <definedName name="_112_Basic_4_8_with_ESE_Services" localSheetId="25">'3398'!$A$15</definedName>
    <definedName name="_112_Basic_4_8_with_ESE_Services" localSheetId="26">'3400'!$A$15</definedName>
    <definedName name="_112_Basic_4_8_with_ESE_Services" localSheetId="27">'3401'!$A$15</definedName>
    <definedName name="_112_Basic_4_8_with_ESE_Services" localSheetId="28">'3413'!$A$15</definedName>
    <definedName name="_112_Basic_4_8_with_ESE_Services" localSheetId="29">'3421'!$A$15</definedName>
    <definedName name="_112_Basic_4_8_with_ESE_Services" localSheetId="30">'3431'!$A$15</definedName>
    <definedName name="_112_Basic_4_8_with_ESE_Services" localSheetId="31">'3441'!$A$15</definedName>
    <definedName name="_112_Basic_4_8_with_ESE_Services" localSheetId="32">'3924'!$A$15</definedName>
    <definedName name="_112_Basic_4_8_with_ESE_Services" localSheetId="33">'3941'!$A$15</definedName>
    <definedName name="_112_Basic_4_8_with_ESE_Services" localSheetId="34">'3961'!$A$15</definedName>
    <definedName name="_112_Basic_4_8_with_ESE_Services" localSheetId="35">'3971'!$A$15</definedName>
    <definedName name="_112_Basic_4_8_with_ESE_Services" localSheetId="36">'4001'!$A$15</definedName>
    <definedName name="_112_Basic_4_8_with_ESE_Services" localSheetId="37">'4002'!$A$15</definedName>
    <definedName name="_112_Basic_4_8_with_ESE_Services" localSheetId="38">'4012'!$A$15</definedName>
    <definedName name="_112_Basic_4_8_with_ESE_Services" localSheetId="39">'4013'!$A$15</definedName>
    <definedName name="_112_Basic_4_8_with_ESE_Services" localSheetId="40">'4020'!$A$15</definedName>
    <definedName name="_112_Basic_4_8_with_ESE_Services" localSheetId="41">'4030'!$A$15</definedName>
    <definedName name="_112_Basic_4_8_with_ESE_Services" localSheetId="42">'4031'!$A$15</definedName>
    <definedName name="_112_Basic_4_8_with_ESE_Services" localSheetId="43">'4041'!$A$15</definedName>
    <definedName name="_112_Basic_4_8_with_ESE_Services" localSheetId="44">'4050'!$A$15</definedName>
    <definedName name="_112_Basic_4_8_with_ESE_Services" localSheetId="45">'4051'!$A$15</definedName>
    <definedName name="_112_Basic_4_8_with_ESE_Services" localSheetId="46">'4061'!$A$15</definedName>
    <definedName name="_112_Basic_4_8_with_ESE_Services" localSheetId="47">'4080'!$A$15</definedName>
    <definedName name="_112_Basic_4_8_with_ESE_Services" localSheetId="48">'4081'!$A$15</definedName>
    <definedName name="_112_Basic_4_8_with_ESE_Services" localSheetId="49">'4090'!$A$15</definedName>
    <definedName name="_112_Basic_4_8_with_ESE_Services" localSheetId="50">'4091'!$A$15</definedName>
    <definedName name="_112_Basic_4_8_with_ESE_Services" localSheetId="51">'4100'!$A$15</definedName>
    <definedName name="_112_Basic_4_8_with_ESE_Services" localSheetId="52">'4102'!$A$15</definedName>
    <definedName name="_112_Basic_4_8_with_ESE_Services" localSheetId="53">'4103'!$A$15</definedName>
    <definedName name="_112_Basic_4_8_with_ESE_Services" localSheetId="54">'4111'!$A$15</definedName>
    <definedName name="_112_Basic_4_8_with_ESE_Services" localSheetId="55">'4131'!$A$15</definedName>
    <definedName name="_112_Basic_4_8_with_ESE_Services">'0040'!$A$15</definedName>
    <definedName name="_113_Basic_9_12_with_ESE_Services" localSheetId="7">'0100'!$A$17</definedName>
    <definedName name="_113_Basic_9_12_with_ESE_Services" localSheetId="6">'0571'!$A$17</definedName>
    <definedName name="_113_Basic_9_12_with_ESE_Services" localSheetId="8">'1461'!$A$17</definedName>
    <definedName name="_113_Basic_9_12_with_ESE_Services" localSheetId="9">'1571'!$A$17</definedName>
    <definedName name="_113_Basic_9_12_with_ESE_Services" localSheetId="10">'2521'!$A$17</definedName>
    <definedName name="_113_Basic_9_12_with_ESE_Services" localSheetId="11">'2531'!$A$17</definedName>
    <definedName name="_113_Basic_9_12_with_ESE_Services" localSheetId="12">'2791'!$A$17</definedName>
    <definedName name="_113_Basic_9_12_with_ESE_Services" localSheetId="13">'2801'!$A$17</definedName>
    <definedName name="_113_Basic_9_12_with_ESE_Services" localSheetId="14">'2911'!$A$17</definedName>
    <definedName name="_113_Basic_9_12_with_ESE_Services" localSheetId="15">'2941'!$A$17</definedName>
    <definedName name="_113_Basic_9_12_with_ESE_Services" localSheetId="16">'3083'!$A$17</definedName>
    <definedName name="_113_Basic_9_12_with_ESE_Services" localSheetId="17">'3345'!$A$17</definedName>
    <definedName name="_113_Basic_9_12_with_ESE_Services" localSheetId="18">'3362'!$A$17</definedName>
    <definedName name="_113_Basic_9_12_with_ESE_Services" localSheetId="19">'3381'!$A$17</definedName>
    <definedName name="_113_Basic_9_12_with_ESE_Services" localSheetId="20">'3382'!$A$17</definedName>
    <definedName name="_113_Basic_9_12_with_ESE_Services" localSheetId="21">'3391'!$A$17</definedName>
    <definedName name="_113_Basic_9_12_with_ESE_Services" localSheetId="22">'3394'!$A$17</definedName>
    <definedName name="_113_Basic_9_12_with_ESE_Services" localSheetId="23">'3395'!$A$17</definedName>
    <definedName name="_113_Basic_9_12_with_ESE_Services" localSheetId="24">'3396'!$A$17</definedName>
    <definedName name="_113_Basic_9_12_with_ESE_Services" localSheetId="25">'3398'!$A$17</definedName>
    <definedName name="_113_Basic_9_12_with_ESE_Services" localSheetId="26">'3400'!$A$17</definedName>
    <definedName name="_113_Basic_9_12_with_ESE_Services" localSheetId="27">'3401'!$A$17</definedName>
    <definedName name="_113_Basic_9_12_with_ESE_Services" localSheetId="28">'3413'!$A$17</definedName>
    <definedName name="_113_Basic_9_12_with_ESE_Services" localSheetId="29">'3421'!$A$17</definedName>
    <definedName name="_113_Basic_9_12_with_ESE_Services" localSheetId="30">'3431'!$A$17</definedName>
    <definedName name="_113_Basic_9_12_with_ESE_Services" localSheetId="31">'3441'!$A$17</definedName>
    <definedName name="_113_Basic_9_12_with_ESE_Services" localSheetId="32">'3924'!$A$17</definedName>
    <definedName name="_113_Basic_9_12_with_ESE_Services" localSheetId="33">'3941'!$A$17</definedName>
    <definedName name="_113_Basic_9_12_with_ESE_Services" localSheetId="34">'3961'!$A$17</definedName>
    <definedName name="_113_Basic_9_12_with_ESE_Services" localSheetId="35">'3971'!$A$17</definedName>
    <definedName name="_113_Basic_9_12_with_ESE_Services" localSheetId="36">'4001'!$A$17</definedName>
    <definedName name="_113_Basic_9_12_with_ESE_Services" localSheetId="37">'4002'!$A$17</definedName>
    <definedName name="_113_Basic_9_12_with_ESE_Services" localSheetId="38">'4012'!$A$17</definedName>
    <definedName name="_113_Basic_9_12_with_ESE_Services" localSheetId="39">'4013'!$A$17</definedName>
    <definedName name="_113_Basic_9_12_with_ESE_Services" localSheetId="40">'4020'!$A$17</definedName>
    <definedName name="_113_Basic_9_12_with_ESE_Services" localSheetId="41">'4030'!$A$17</definedName>
    <definedName name="_113_Basic_9_12_with_ESE_Services" localSheetId="42">'4031'!$A$17</definedName>
    <definedName name="_113_Basic_9_12_with_ESE_Services" localSheetId="43">'4041'!$A$17</definedName>
    <definedName name="_113_Basic_9_12_with_ESE_Services" localSheetId="44">'4050'!$A$17</definedName>
    <definedName name="_113_Basic_9_12_with_ESE_Services" localSheetId="45">'4051'!$A$17</definedName>
    <definedName name="_113_Basic_9_12_with_ESE_Services" localSheetId="46">'4061'!$A$17</definedName>
    <definedName name="_113_Basic_9_12_with_ESE_Services" localSheetId="47">'4080'!$A$17</definedName>
    <definedName name="_113_Basic_9_12_with_ESE_Services" localSheetId="48">'4081'!$A$17</definedName>
    <definedName name="_113_Basic_9_12_with_ESE_Services" localSheetId="49">'4090'!$A$17</definedName>
    <definedName name="_113_Basic_9_12_with_ESE_Services" localSheetId="50">'4091'!$A$17</definedName>
    <definedName name="_113_Basic_9_12_with_ESE_Services" localSheetId="51">'4100'!$A$17</definedName>
    <definedName name="_113_Basic_9_12_with_ESE_Services" localSheetId="52">'4102'!$A$17</definedName>
    <definedName name="_113_Basic_9_12_with_ESE_Services" localSheetId="53">'4103'!$A$17</definedName>
    <definedName name="_113_Basic_9_12_with_ESE_Services" localSheetId="54">'4111'!$A$17</definedName>
    <definedName name="_113_Basic_9_12_with_ESE_Services" localSheetId="55">'4131'!$A$17</definedName>
    <definedName name="_113_Basic_9_12_with_ESE_Services">'0040'!$A$17</definedName>
    <definedName name="_130_ESOL__Grade_Level_4_8" localSheetId="7">'0100'!$A$25</definedName>
    <definedName name="_130_ESOL__Grade_Level_4_8" localSheetId="6">'0571'!$A$25</definedName>
    <definedName name="_130_ESOL__Grade_Level_4_8" localSheetId="8">'1461'!$A$25</definedName>
    <definedName name="_130_ESOL__Grade_Level_4_8" localSheetId="9">'1571'!$A$25</definedName>
    <definedName name="_130_ESOL__Grade_Level_4_8" localSheetId="10">'2521'!$A$25</definedName>
    <definedName name="_130_ESOL__Grade_Level_4_8" localSheetId="11">'2531'!$A$25</definedName>
    <definedName name="_130_ESOL__Grade_Level_4_8" localSheetId="12">'2791'!$A$25</definedName>
    <definedName name="_130_ESOL__Grade_Level_4_8" localSheetId="13">'2801'!$A$25</definedName>
    <definedName name="_130_ESOL__Grade_Level_4_8" localSheetId="14">'2911'!$A$25</definedName>
    <definedName name="_130_ESOL__Grade_Level_4_8" localSheetId="15">'2941'!$A$25</definedName>
    <definedName name="_130_ESOL__Grade_Level_4_8" localSheetId="16">'3083'!$A$25</definedName>
    <definedName name="_130_ESOL__Grade_Level_4_8" localSheetId="17">'3345'!$A$25</definedName>
    <definedName name="_130_ESOL__Grade_Level_4_8" localSheetId="18">'3362'!$A$25</definedName>
    <definedName name="_130_ESOL__Grade_Level_4_8" localSheetId="19">'3381'!$A$25</definedName>
    <definedName name="_130_ESOL__Grade_Level_4_8" localSheetId="20">'3382'!$A$25</definedName>
    <definedName name="_130_ESOL__Grade_Level_4_8" localSheetId="21">'3391'!$A$25</definedName>
    <definedName name="_130_ESOL__Grade_Level_4_8" localSheetId="22">'3394'!$A$25</definedName>
    <definedName name="_130_ESOL__Grade_Level_4_8" localSheetId="23">'3395'!$A$25</definedName>
    <definedName name="_130_ESOL__Grade_Level_4_8" localSheetId="24">'3396'!$A$25</definedName>
    <definedName name="_130_ESOL__Grade_Level_4_8" localSheetId="25">'3398'!$A$25</definedName>
    <definedName name="_130_ESOL__Grade_Level_4_8" localSheetId="26">'3400'!$A$25</definedName>
    <definedName name="_130_ESOL__Grade_Level_4_8" localSheetId="27">'3401'!$A$25</definedName>
    <definedName name="_130_ESOL__Grade_Level_4_8" localSheetId="28">'3413'!$A$25</definedName>
    <definedName name="_130_ESOL__Grade_Level_4_8" localSheetId="29">'3421'!$A$25</definedName>
    <definedName name="_130_ESOL__Grade_Level_4_8" localSheetId="30">'3431'!$A$25</definedName>
    <definedName name="_130_ESOL__Grade_Level_4_8" localSheetId="31">'3441'!$A$25</definedName>
    <definedName name="_130_ESOL__Grade_Level_4_8" localSheetId="32">'3924'!$A$25</definedName>
    <definedName name="_130_ESOL__Grade_Level_4_8" localSheetId="33">'3941'!$A$25</definedName>
    <definedName name="_130_ESOL__Grade_Level_4_8" localSheetId="34">'3961'!$A$25</definedName>
    <definedName name="_130_ESOL__Grade_Level_4_8" localSheetId="35">'3971'!$A$25</definedName>
    <definedName name="_130_ESOL__Grade_Level_4_8" localSheetId="36">'4001'!$A$25</definedName>
    <definedName name="_130_ESOL__Grade_Level_4_8" localSheetId="37">'4002'!$A$25</definedName>
    <definedName name="_130_ESOL__Grade_Level_4_8" localSheetId="38">'4012'!$A$25</definedName>
    <definedName name="_130_ESOL__Grade_Level_4_8" localSheetId="39">'4013'!$A$25</definedName>
    <definedName name="_130_ESOL__Grade_Level_4_8" localSheetId="40">'4020'!$A$25</definedName>
    <definedName name="_130_ESOL__Grade_Level_4_8" localSheetId="41">'4030'!$A$25</definedName>
    <definedName name="_130_ESOL__Grade_Level_4_8" localSheetId="42">'4031'!$A$25</definedName>
    <definedName name="_130_ESOL__Grade_Level_4_8" localSheetId="43">'4041'!$A$25</definedName>
    <definedName name="_130_ESOL__Grade_Level_4_8" localSheetId="44">'4050'!$A$25</definedName>
    <definedName name="_130_ESOL__Grade_Level_4_8" localSheetId="45">'4051'!$A$25</definedName>
    <definedName name="_130_ESOL__Grade_Level_4_8" localSheetId="46">'4061'!$A$25</definedName>
    <definedName name="_130_ESOL__Grade_Level_4_8" localSheetId="47">'4080'!$A$25</definedName>
    <definedName name="_130_ESOL__Grade_Level_4_8" localSheetId="48">'4081'!$A$25</definedName>
    <definedName name="_130_ESOL__Grade_Level_4_8" localSheetId="49">'4090'!$A$25</definedName>
    <definedName name="_130_ESOL__Grade_Level_4_8" localSheetId="50">'4091'!$A$25</definedName>
    <definedName name="_130_ESOL__Grade_Level_4_8" localSheetId="51">'4100'!$A$25</definedName>
    <definedName name="_130_ESOL__Grade_Level_4_8" localSheetId="52">'4102'!$A$25</definedName>
    <definedName name="_130_ESOL__Grade_Level_4_8" localSheetId="53">'4103'!$A$25</definedName>
    <definedName name="_130_ESOL__Grade_Level_4_8" localSheetId="54">'4111'!$A$25</definedName>
    <definedName name="_130_ESOL__Grade_Level_4_8" localSheetId="55">'4131'!$A$25</definedName>
    <definedName name="_130_ESOL__Grade_Level_4_8">'0040'!$A$25</definedName>
    <definedName name="_130_ESOL__Grade_Level_9_12" localSheetId="7">'0100'!$A$26</definedName>
    <definedName name="_130_ESOL__Grade_Level_9_12" localSheetId="6">'0571'!$A$26</definedName>
    <definedName name="_130_ESOL__Grade_Level_9_12" localSheetId="8">'1461'!$A$26</definedName>
    <definedName name="_130_ESOL__Grade_Level_9_12" localSheetId="9">'1571'!$A$26</definedName>
    <definedName name="_130_ESOL__Grade_Level_9_12" localSheetId="10">'2521'!$A$26</definedName>
    <definedName name="_130_ESOL__Grade_Level_9_12" localSheetId="11">'2531'!$A$26</definedName>
    <definedName name="_130_ESOL__Grade_Level_9_12" localSheetId="12">'2791'!$A$26</definedName>
    <definedName name="_130_ESOL__Grade_Level_9_12" localSheetId="13">'2801'!$A$26</definedName>
    <definedName name="_130_ESOL__Grade_Level_9_12" localSheetId="14">'2911'!$A$26</definedName>
    <definedName name="_130_ESOL__Grade_Level_9_12" localSheetId="15">'2941'!$A$26</definedName>
    <definedName name="_130_ESOL__Grade_Level_9_12" localSheetId="16">'3083'!$A$26</definedName>
    <definedName name="_130_ESOL__Grade_Level_9_12" localSheetId="17">'3345'!$A$26</definedName>
    <definedName name="_130_ESOL__Grade_Level_9_12" localSheetId="18">'3362'!$A$26</definedName>
    <definedName name="_130_ESOL__Grade_Level_9_12" localSheetId="19">'3381'!$A$26</definedName>
    <definedName name="_130_ESOL__Grade_Level_9_12" localSheetId="20">'3382'!$A$26</definedName>
    <definedName name="_130_ESOL__Grade_Level_9_12" localSheetId="21">'3391'!$A$26</definedName>
    <definedName name="_130_ESOL__Grade_Level_9_12" localSheetId="22">'3394'!$A$26</definedName>
    <definedName name="_130_ESOL__Grade_Level_9_12" localSheetId="23">'3395'!$A$26</definedName>
    <definedName name="_130_ESOL__Grade_Level_9_12" localSheetId="24">'3396'!$A$26</definedName>
    <definedName name="_130_ESOL__Grade_Level_9_12" localSheetId="25">'3398'!$A$26</definedName>
    <definedName name="_130_ESOL__Grade_Level_9_12" localSheetId="26">'3400'!$A$26</definedName>
    <definedName name="_130_ESOL__Grade_Level_9_12" localSheetId="27">'3401'!$A$26</definedName>
    <definedName name="_130_ESOL__Grade_Level_9_12" localSheetId="28">'3413'!$A$26</definedName>
    <definedName name="_130_ESOL__Grade_Level_9_12" localSheetId="29">'3421'!$A$26</definedName>
    <definedName name="_130_ESOL__Grade_Level_9_12" localSheetId="30">'3431'!$A$26</definedName>
    <definedName name="_130_ESOL__Grade_Level_9_12" localSheetId="31">'3441'!$A$26</definedName>
    <definedName name="_130_ESOL__Grade_Level_9_12" localSheetId="32">'3924'!$A$26</definedName>
    <definedName name="_130_ESOL__Grade_Level_9_12" localSheetId="33">'3941'!$A$26</definedName>
    <definedName name="_130_ESOL__Grade_Level_9_12" localSheetId="34">'3961'!$A$26</definedName>
    <definedName name="_130_ESOL__Grade_Level_9_12" localSheetId="35">'3971'!$A$26</definedName>
    <definedName name="_130_ESOL__Grade_Level_9_12" localSheetId="36">'4001'!$A$26</definedName>
    <definedName name="_130_ESOL__Grade_Level_9_12" localSheetId="37">'4002'!$A$26</definedName>
    <definedName name="_130_ESOL__Grade_Level_9_12" localSheetId="38">'4012'!$A$26</definedName>
    <definedName name="_130_ESOL__Grade_Level_9_12" localSheetId="39">'4013'!$A$26</definedName>
    <definedName name="_130_ESOL__Grade_Level_9_12" localSheetId="40">'4020'!$A$26</definedName>
    <definedName name="_130_ESOL__Grade_Level_9_12" localSheetId="41">'4030'!$A$26</definedName>
    <definedName name="_130_ESOL__Grade_Level_9_12" localSheetId="42">'4031'!$A$26</definedName>
    <definedName name="_130_ESOL__Grade_Level_9_12" localSheetId="43">'4041'!$A$26</definedName>
    <definedName name="_130_ESOL__Grade_Level_9_12" localSheetId="44">'4050'!$A$26</definedName>
    <definedName name="_130_ESOL__Grade_Level_9_12" localSheetId="45">'4051'!$A$26</definedName>
    <definedName name="_130_ESOL__Grade_Level_9_12" localSheetId="46">'4061'!$A$26</definedName>
    <definedName name="_130_ESOL__Grade_Level_9_12" localSheetId="47">'4080'!$A$26</definedName>
    <definedName name="_130_ESOL__Grade_Level_9_12" localSheetId="48">'4081'!$A$26</definedName>
    <definedName name="_130_ESOL__Grade_Level_9_12" localSheetId="49">'4090'!$A$26</definedName>
    <definedName name="_130_ESOL__Grade_Level_9_12" localSheetId="50">'4091'!$A$26</definedName>
    <definedName name="_130_ESOL__Grade_Level_9_12" localSheetId="51">'4100'!$A$26</definedName>
    <definedName name="_130_ESOL__Grade_Level_9_12" localSheetId="52">'4102'!$A$26</definedName>
    <definedName name="_130_ESOL__Grade_Level_9_12" localSheetId="53">'4103'!$A$26</definedName>
    <definedName name="_130_ESOL__Grade_Level_9_12" localSheetId="54">'4111'!$A$26</definedName>
    <definedName name="_130_ESOL__Grade_Level_9_12" localSheetId="55">'4131'!$A$26</definedName>
    <definedName name="_130_ESOL__Grade_Level_9_12">'0040'!$A$26</definedName>
    <definedName name="_130_ESOL__Grade_Level_PK_3" localSheetId="7">'0100'!$A$24</definedName>
    <definedName name="_130_ESOL__Grade_Level_PK_3" localSheetId="6">'0571'!$A$24</definedName>
    <definedName name="_130_ESOL__Grade_Level_PK_3" localSheetId="8">'1461'!$A$24</definedName>
    <definedName name="_130_ESOL__Grade_Level_PK_3" localSheetId="9">'1571'!$A$24</definedName>
    <definedName name="_130_ESOL__Grade_Level_PK_3" localSheetId="10">'2521'!$A$24</definedName>
    <definedName name="_130_ESOL__Grade_Level_PK_3" localSheetId="11">'2531'!$A$24</definedName>
    <definedName name="_130_ESOL__Grade_Level_PK_3" localSheetId="12">'2791'!$A$24</definedName>
    <definedName name="_130_ESOL__Grade_Level_PK_3" localSheetId="13">'2801'!$A$24</definedName>
    <definedName name="_130_ESOL__Grade_Level_PK_3" localSheetId="14">'2911'!$A$24</definedName>
    <definedName name="_130_ESOL__Grade_Level_PK_3" localSheetId="15">'2941'!$A$24</definedName>
    <definedName name="_130_ESOL__Grade_Level_PK_3" localSheetId="16">'3083'!$A$24</definedName>
    <definedName name="_130_ESOL__Grade_Level_PK_3" localSheetId="17">'3345'!$A$24</definedName>
    <definedName name="_130_ESOL__Grade_Level_PK_3" localSheetId="18">'3362'!$A$24</definedName>
    <definedName name="_130_ESOL__Grade_Level_PK_3" localSheetId="19">'3381'!$A$24</definedName>
    <definedName name="_130_ESOL__Grade_Level_PK_3" localSheetId="20">'3382'!$A$24</definedName>
    <definedName name="_130_ESOL__Grade_Level_PK_3" localSheetId="21">'3391'!$A$24</definedName>
    <definedName name="_130_ESOL__Grade_Level_PK_3" localSheetId="22">'3394'!$A$24</definedName>
    <definedName name="_130_ESOL__Grade_Level_PK_3" localSheetId="23">'3395'!$A$24</definedName>
    <definedName name="_130_ESOL__Grade_Level_PK_3" localSheetId="24">'3396'!$A$24</definedName>
    <definedName name="_130_ESOL__Grade_Level_PK_3" localSheetId="25">'3398'!$A$24</definedName>
    <definedName name="_130_ESOL__Grade_Level_PK_3" localSheetId="26">'3400'!$A$24</definedName>
    <definedName name="_130_ESOL__Grade_Level_PK_3" localSheetId="27">'3401'!$A$24</definedName>
    <definedName name="_130_ESOL__Grade_Level_PK_3" localSheetId="28">'3413'!$A$24</definedName>
    <definedName name="_130_ESOL__Grade_Level_PK_3" localSheetId="29">'3421'!$A$24</definedName>
    <definedName name="_130_ESOL__Grade_Level_PK_3" localSheetId="30">'3431'!$A$24</definedName>
    <definedName name="_130_ESOL__Grade_Level_PK_3" localSheetId="31">'3441'!$A$24</definedName>
    <definedName name="_130_ESOL__Grade_Level_PK_3" localSheetId="32">'3924'!$A$24</definedName>
    <definedName name="_130_ESOL__Grade_Level_PK_3" localSheetId="33">'3941'!$A$24</definedName>
    <definedName name="_130_ESOL__Grade_Level_PK_3" localSheetId="34">'3961'!$A$24</definedName>
    <definedName name="_130_ESOL__Grade_Level_PK_3" localSheetId="35">'3971'!$A$24</definedName>
    <definedName name="_130_ESOL__Grade_Level_PK_3" localSheetId="36">'4001'!$A$24</definedName>
    <definedName name="_130_ESOL__Grade_Level_PK_3" localSheetId="37">'4002'!$A$24</definedName>
    <definedName name="_130_ESOL__Grade_Level_PK_3" localSheetId="38">'4012'!$A$24</definedName>
    <definedName name="_130_ESOL__Grade_Level_PK_3" localSheetId="39">'4013'!$A$24</definedName>
    <definedName name="_130_ESOL__Grade_Level_PK_3" localSheetId="40">'4020'!$A$24</definedName>
    <definedName name="_130_ESOL__Grade_Level_PK_3" localSheetId="41">'4030'!$A$24</definedName>
    <definedName name="_130_ESOL__Grade_Level_PK_3" localSheetId="42">'4031'!$A$24</definedName>
    <definedName name="_130_ESOL__Grade_Level_PK_3" localSheetId="43">'4041'!$A$24</definedName>
    <definedName name="_130_ESOL__Grade_Level_PK_3" localSheetId="44">'4050'!$A$24</definedName>
    <definedName name="_130_ESOL__Grade_Level_PK_3" localSheetId="45">'4051'!$A$24</definedName>
    <definedName name="_130_ESOL__Grade_Level_PK_3" localSheetId="46">'4061'!$A$24</definedName>
    <definedName name="_130_ESOL__Grade_Level_PK_3" localSheetId="47">'4080'!$A$24</definedName>
    <definedName name="_130_ESOL__Grade_Level_PK_3" localSheetId="48">'4081'!$A$24</definedName>
    <definedName name="_130_ESOL__Grade_Level_PK_3" localSheetId="49">'4090'!$A$24</definedName>
    <definedName name="_130_ESOL__Grade_Level_PK_3" localSheetId="50">'4091'!$A$24</definedName>
    <definedName name="_130_ESOL__Grade_Level_PK_3" localSheetId="51">'4100'!$A$24</definedName>
    <definedName name="_130_ESOL__Grade_Level_PK_3" localSheetId="52">'4102'!$A$24</definedName>
    <definedName name="_130_ESOL__Grade_Level_PK_3" localSheetId="53">'4103'!$A$24</definedName>
    <definedName name="_130_ESOL__Grade_Level_PK_3" localSheetId="54">'4111'!$A$24</definedName>
    <definedName name="_130_ESOL__Grade_Level_PK_3" localSheetId="55">'4131'!$A$24</definedName>
    <definedName name="_130_ESOL__Grade_Level_PK_3">'0040'!$A$24</definedName>
    <definedName name="_1A.___2023_24_FEFP_State_and_Local_Funding" localSheetId="5">'0040'!$A$5</definedName>
    <definedName name="_1A.___2023_24_FEFP_State_and_Local_Funding" localSheetId="7">'0100'!$A$5</definedName>
    <definedName name="_1A.___2023_24_FEFP_State_and_Local_Funding" localSheetId="6">'0571'!$A$5</definedName>
    <definedName name="_1A.___2023_24_FEFP_State_and_Local_Funding" localSheetId="8">'1461'!$A$5</definedName>
    <definedName name="_1A.___2023_24_FEFP_State_and_Local_Funding" localSheetId="9">'1571'!$A$5</definedName>
    <definedName name="_1A.___2023_24_FEFP_State_and_Local_Funding" localSheetId="10">'2521'!$A$5</definedName>
    <definedName name="_1A.___2023_24_FEFP_State_and_Local_Funding" localSheetId="11">'2531'!$A$5</definedName>
    <definedName name="_1A.___2023_24_FEFP_State_and_Local_Funding" localSheetId="12">'2791'!$A$5</definedName>
    <definedName name="_1A.___2023_24_FEFP_State_and_Local_Funding" localSheetId="13">'2801'!$A$5</definedName>
    <definedName name="_1A.___2023_24_FEFP_State_and_Local_Funding" localSheetId="14">'2911'!$A$5</definedName>
    <definedName name="_1A.___2023_24_FEFP_State_and_Local_Funding" localSheetId="15">'2941'!$A$5</definedName>
    <definedName name="_1A.___2023_24_FEFP_State_and_Local_Funding" localSheetId="16">'3083'!$A$5</definedName>
    <definedName name="_1A.___2023_24_FEFP_State_and_Local_Funding" localSheetId="17">'3345'!$A$5</definedName>
    <definedName name="_1A.___2023_24_FEFP_State_and_Local_Funding" localSheetId="18">'3362'!$A$5</definedName>
    <definedName name="_1A.___2023_24_FEFP_State_and_Local_Funding" localSheetId="19">'3381'!$A$5</definedName>
    <definedName name="_1A.___2023_24_FEFP_State_and_Local_Funding" localSheetId="20">'3382'!$A$5</definedName>
    <definedName name="_1A.___2023_24_FEFP_State_and_Local_Funding" localSheetId="21">'3391'!$A$5</definedName>
    <definedName name="_1A.___2023_24_FEFP_State_and_Local_Funding" localSheetId="22">'3394'!$A$5</definedName>
    <definedName name="_1A.___2023_24_FEFP_State_and_Local_Funding" localSheetId="23">'3395'!$A$5</definedName>
    <definedName name="_1A.___2023_24_FEFP_State_and_Local_Funding" localSheetId="24">'3396'!$A$5</definedName>
    <definedName name="_1A.___2023_24_FEFP_State_and_Local_Funding" localSheetId="25">'3398'!$A$5</definedName>
    <definedName name="_1A.___2023_24_FEFP_State_and_Local_Funding" localSheetId="26">'3400'!$A$5</definedName>
    <definedName name="_1A.___2023_24_FEFP_State_and_Local_Funding" localSheetId="27">'3401'!$A$5</definedName>
    <definedName name="_1A.___2023_24_FEFP_State_and_Local_Funding" localSheetId="28">'3413'!$A$5</definedName>
    <definedName name="_1A.___2023_24_FEFP_State_and_Local_Funding" localSheetId="29">'3421'!$A$5</definedName>
    <definedName name="_1A.___2023_24_FEFP_State_and_Local_Funding" localSheetId="30">'3431'!$A$5</definedName>
    <definedName name="_1A.___2023_24_FEFP_State_and_Local_Funding" localSheetId="31">'3441'!$A$5</definedName>
    <definedName name="_1A.___2023_24_FEFP_State_and_Local_Funding" localSheetId="32">'3924'!$A$5</definedName>
    <definedName name="_1A.___2023_24_FEFP_State_and_Local_Funding" localSheetId="33">'3941'!$A$5</definedName>
    <definedName name="_1A.___2023_24_FEFP_State_and_Local_Funding" localSheetId="34">'3961'!$A$5</definedName>
    <definedName name="_1A.___2023_24_FEFP_State_and_Local_Funding" localSheetId="35">'3971'!$A$5</definedName>
    <definedName name="_1A.___2023_24_FEFP_State_and_Local_Funding" localSheetId="36">'4001'!$A$5</definedName>
    <definedName name="_1A.___2023_24_FEFP_State_and_Local_Funding" localSheetId="37">'4002'!$A$5</definedName>
    <definedName name="_1A.___2023_24_FEFP_State_and_Local_Funding" localSheetId="38">'4012'!$A$5</definedName>
    <definedName name="_1A.___2023_24_FEFP_State_and_Local_Funding" localSheetId="39">'4013'!$A$5</definedName>
    <definedName name="_1A.___2023_24_FEFP_State_and_Local_Funding" localSheetId="40">'4020'!$A$5</definedName>
    <definedName name="_1A.___2023_24_FEFP_State_and_Local_Funding" localSheetId="41">'4030'!$A$5</definedName>
    <definedName name="_1A.___2023_24_FEFP_State_and_Local_Funding" localSheetId="42">'4031'!$A$5</definedName>
    <definedName name="_1A.___2023_24_FEFP_State_and_Local_Funding" localSheetId="43">'4041'!$A$5</definedName>
    <definedName name="_1A.___2023_24_FEFP_State_and_Local_Funding" localSheetId="44">'4050'!$A$5</definedName>
    <definedName name="_1A.___2023_24_FEFP_State_and_Local_Funding" localSheetId="45">'4051'!$A$5</definedName>
    <definedName name="_1A.___2023_24_FEFP_State_and_Local_Funding" localSheetId="46">'4061'!$A$5</definedName>
    <definedName name="_1A.___2023_24_FEFP_State_and_Local_Funding" localSheetId="47">'4080'!$A$5</definedName>
    <definedName name="_1A.___2023_24_FEFP_State_and_Local_Funding" localSheetId="48">'4081'!$A$5</definedName>
    <definedName name="_1A.___2023_24_FEFP_State_and_Local_Funding" localSheetId="49">'4090'!$A$5</definedName>
    <definedName name="_1A.___2023_24_FEFP_State_and_Local_Funding" localSheetId="50">'4091'!$A$5</definedName>
    <definedName name="_1A.___2023_24_FEFP_State_and_Local_Funding" localSheetId="51">'4100'!$A$5</definedName>
    <definedName name="_1A.___2023_24_FEFP_State_and_Local_Funding" localSheetId="52">'4102'!$A$5</definedName>
    <definedName name="_1A.___2023_24_FEFP_State_and_Local_Funding" localSheetId="53">'4103'!$A$5</definedName>
    <definedName name="_1A.___2023_24_FEFP_State_and_Local_Funding" localSheetId="54">'4111'!$A$5</definedName>
    <definedName name="_1A.___2023_24_FEFP_State_and_Local_Funding" localSheetId="55">'4131'!$A$5</definedName>
    <definedName name="_2" localSheetId="7">'0100'!$E$11</definedName>
    <definedName name="_2" localSheetId="6">'0571'!$E$11</definedName>
    <definedName name="_2" localSheetId="8">'1461'!$E$11</definedName>
    <definedName name="_2" localSheetId="9">'1571'!$E$11</definedName>
    <definedName name="_2" localSheetId="10">'2521'!$E$11</definedName>
    <definedName name="_2" localSheetId="11">'2531'!$E$11</definedName>
    <definedName name="_2" localSheetId="12">'2791'!$E$11</definedName>
    <definedName name="_2" localSheetId="13">'2801'!$E$11</definedName>
    <definedName name="_2" localSheetId="14">'2911'!$E$11</definedName>
    <definedName name="_2" localSheetId="15">'2941'!$E$11</definedName>
    <definedName name="_2" localSheetId="16">'3083'!$E$11</definedName>
    <definedName name="_2" localSheetId="17">'3345'!$E$11</definedName>
    <definedName name="_2" localSheetId="18">'3362'!$E$11</definedName>
    <definedName name="_2" localSheetId="19">'3381'!$E$11</definedName>
    <definedName name="_2" localSheetId="20">'3382'!$E$11</definedName>
    <definedName name="_2" localSheetId="21">'3391'!$E$11</definedName>
    <definedName name="_2" localSheetId="22">'3394'!$E$11</definedName>
    <definedName name="_2" localSheetId="23">'3395'!$E$11</definedName>
    <definedName name="_2" localSheetId="24">'3396'!$E$11</definedName>
    <definedName name="_2" localSheetId="25">'3398'!$E$11</definedName>
    <definedName name="_2" localSheetId="26">'3400'!$E$11</definedName>
    <definedName name="_2" localSheetId="27">'3401'!$E$11</definedName>
    <definedName name="_2" localSheetId="28">'3413'!$E$11</definedName>
    <definedName name="_2" localSheetId="29">'3421'!$E$11</definedName>
    <definedName name="_2" localSheetId="30">'3431'!$E$11</definedName>
    <definedName name="_2" localSheetId="31">'3441'!$E$11</definedName>
    <definedName name="_2" localSheetId="32">'3924'!$E$11</definedName>
    <definedName name="_2" localSheetId="33">'3941'!$E$11</definedName>
    <definedName name="_2" localSheetId="34">'3961'!$E$11</definedName>
    <definedName name="_2" localSheetId="35">'3971'!$E$11</definedName>
    <definedName name="_2" localSheetId="36">'4001'!$E$11</definedName>
    <definedName name="_2" localSheetId="37">'4002'!$E$11</definedName>
    <definedName name="_2" localSheetId="38">'4012'!$E$11</definedName>
    <definedName name="_2" localSheetId="39">'4013'!$E$11</definedName>
    <definedName name="_2" localSheetId="40">'4020'!$E$11</definedName>
    <definedName name="_2" localSheetId="41">'4030'!$E$11</definedName>
    <definedName name="_2" localSheetId="42">'4031'!$E$11</definedName>
    <definedName name="_2" localSheetId="43">'4041'!$E$11</definedName>
    <definedName name="_2" localSheetId="44">'4050'!$E$11</definedName>
    <definedName name="_2" localSheetId="45">'4051'!$E$11</definedName>
    <definedName name="_2" localSheetId="46">'4061'!$E$11</definedName>
    <definedName name="_2" localSheetId="47">'4080'!$E$11</definedName>
    <definedName name="_2" localSheetId="48">'4081'!$E$11</definedName>
    <definedName name="_2" localSheetId="49">'4090'!$E$11</definedName>
    <definedName name="_2" localSheetId="50">'4091'!$E$11</definedName>
    <definedName name="_2" localSheetId="51">'4100'!$E$11</definedName>
    <definedName name="_2" localSheetId="52">'4102'!$E$11</definedName>
    <definedName name="_2" localSheetId="53">'4103'!$E$11</definedName>
    <definedName name="_2" localSheetId="54">'4111'!$E$11</definedName>
    <definedName name="_2" localSheetId="55">'4131'!$E$11</definedName>
    <definedName name="_2">'0040'!$E$11</definedName>
    <definedName name="_2.__ESE_Guaranteed_Allocation" localSheetId="7">'0100'!#REF!</definedName>
    <definedName name="_2.__ESE_Guaranteed_Allocation" localSheetId="6">'0571'!#REF!</definedName>
    <definedName name="_2.__ESE_Guaranteed_Allocation" localSheetId="8">'1461'!#REF!</definedName>
    <definedName name="_2.__ESE_Guaranteed_Allocation" localSheetId="9">'1571'!#REF!</definedName>
    <definedName name="_2.__ESE_Guaranteed_Allocation" localSheetId="10">'2521'!#REF!</definedName>
    <definedName name="_2.__ESE_Guaranteed_Allocation" localSheetId="11">'2531'!#REF!</definedName>
    <definedName name="_2.__ESE_Guaranteed_Allocation" localSheetId="12">'2791'!#REF!</definedName>
    <definedName name="_2.__ESE_Guaranteed_Allocation" localSheetId="13">'2801'!#REF!</definedName>
    <definedName name="_2.__ESE_Guaranteed_Allocation" localSheetId="14">'2911'!#REF!</definedName>
    <definedName name="_2.__ESE_Guaranteed_Allocation" localSheetId="15">'2941'!#REF!</definedName>
    <definedName name="_2.__ESE_Guaranteed_Allocation" localSheetId="16">'3083'!#REF!</definedName>
    <definedName name="_2.__ESE_Guaranteed_Allocation" localSheetId="17">'3345'!#REF!</definedName>
    <definedName name="_2.__ESE_Guaranteed_Allocation" localSheetId="18">'3362'!#REF!</definedName>
    <definedName name="_2.__ESE_Guaranteed_Allocation" localSheetId="19">'3381'!#REF!</definedName>
    <definedName name="_2.__ESE_Guaranteed_Allocation" localSheetId="20">'3382'!#REF!</definedName>
    <definedName name="_2.__ESE_Guaranteed_Allocation" localSheetId="21">'3391'!#REF!</definedName>
    <definedName name="_2.__ESE_Guaranteed_Allocation" localSheetId="22">'3394'!#REF!</definedName>
    <definedName name="_2.__ESE_Guaranteed_Allocation" localSheetId="23">'3395'!#REF!</definedName>
    <definedName name="_2.__ESE_Guaranteed_Allocation" localSheetId="24">'3396'!#REF!</definedName>
    <definedName name="_2.__ESE_Guaranteed_Allocation" localSheetId="25">'3398'!#REF!</definedName>
    <definedName name="_2.__ESE_Guaranteed_Allocation" localSheetId="26">'3400'!#REF!</definedName>
    <definedName name="_2.__ESE_Guaranteed_Allocation" localSheetId="27">'3401'!#REF!</definedName>
    <definedName name="_2.__ESE_Guaranteed_Allocation" localSheetId="28">'3413'!#REF!</definedName>
    <definedName name="_2.__ESE_Guaranteed_Allocation" localSheetId="29">'3421'!#REF!</definedName>
    <definedName name="_2.__ESE_Guaranteed_Allocation" localSheetId="30">'3431'!#REF!</definedName>
    <definedName name="_2.__ESE_Guaranteed_Allocation" localSheetId="31">'3441'!#REF!</definedName>
    <definedName name="_2.__ESE_Guaranteed_Allocation" localSheetId="32">'3924'!#REF!</definedName>
    <definedName name="_2.__ESE_Guaranteed_Allocation" localSheetId="33">'3941'!#REF!</definedName>
    <definedName name="_2.__ESE_Guaranteed_Allocation" localSheetId="34">'3961'!#REF!</definedName>
    <definedName name="_2.__ESE_Guaranteed_Allocation" localSheetId="35">'3971'!#REF!</definedName>
    <definedName name="_2.__ESE_Guaranteed_Allocation" localSheetId="36">'4001'!#REF!</definedName>
    <definedName name="_2.__ESE_Guaranteed_Allocation" localSheetId="37">'4002'!#REF!</definedName>
    <definedName name="_2.__ESE_Guaranteed_Allocation" localSheetId="38">'4012'!#REF!</definedName>
    <definedName name="_2.__ESE_Guaranteed_Allocation" localSheetId="39">'4013'!#REF!</definedName>
    <definedName name="_2.__ESE_Guaranteed_Allocation" localSheetId="40">'4020'!#REF!</definedName>
    <definedName name="_2.__ESE_Guaranteed_Allocation" localSheetId="41">'4030'!#REF!</definedName>
    <definedName name="_2.__ESE_Guaranteed_Allocation" localSheetId="42">'4031'!#REF!</definedName>
    <definedName name="_2.__ESE_Guaranteed_Allocation" localSheetId="43">'4041'!#REF!</definedName>
    <definedName name="_2.__ESE_Guaranteed_Allocation" localSheetId="44">'4050'!#REF!</definedName>
    <definedName name="_2.__ESE_Guaranteed_Allocation" localSheetId="45">'4051'!#REF!</definedName>
    <definedName name="_2.__ESE_Guaranteed_Allocation" localSheetId="46">'4061'!#REF!</definedName>
    <definedName name="_2.__ESE_Guaranteed_Allocation" localSheetId="47">'4080'!#REF!</definedName>
    <definedName name="_2.__ESE_Guaranteed_Allocation" localSheetId="48">'4081'!#REF!</definedName>
    <definedName name="_2.__ESE_Guaranteed_Allocation" localSheetId="49">'4090'!#REF!</definedName>
    <definedName name="_2.__ESE_Guaranteed_Allocation" localSheetId="50">'4091'!#REF!</definedName>
    <definedName name="_2.__ESE_Guaranteed_Allocation" localSheetId="51">'4100'!#REF!</definedName>
    <definedName name="_2.__ESE_Guaranteed_Allocation" localSheetId="52">'4102'!#REF!</definedName>
    <definedName name="_2.__ESE_Guaranteed_Allocation" localSheetId="53">'4103'!#REF!</definedName>
    <definedName name="_2.__ESE_Guaranteed_Allocation" localSheetId="54">'4111'!#REF!</definedName>
    <definedName name="_2.__ESE_Guaranteed_Allocation" localSheetId="55">'4131'!#REF!</definedName>
    <definedName name="_2.__ESE_Guaranteed_Allocation">'0040'!#REF!</definedName>
    <definedName name="_2000_01_District_Cost_Differential">#REF!</definedName>
    <definedName name="_2010_11_Base_Funding_WFTE_x_BSA_x_DCD" localSheetId="7">'0100'!$J$10</definedName>
    <definedName name="_2010_11_Base_Funding_WFTE_x_BSA_x_DCD" localSheetId="6">'0571'!$J$10</definedName>
    <definedName name="_2010_11_Base_Funding_WFTE_x_BSA_x_DCD" localSheetId="8">'1461'!$J$10</definedName>
    <definedName name="_2010_11_Base_Funding_WFTE_x_BSA_x_DCD" localSheetId="9">'1571'!$J$10</definedName>
    <definedName name="_2010_11_Base_Funding_WFTE_x_BSA_x_DCD" localSheetId="10">'2521'!$J$10</definedName>
    <definedName name="_2010_11_Base_Funding_WFTE_x_BSA_x_DCD" localSheetId="11">'2531'!$J$10</definedName>
    <definedName name="_2010_11_Base_Funding_WFTE_x_BSA_x_DCD" localSheetId="12">'2791'!$J$10</definedName>
    <definedName name="_2010_11_Base_Funding_WFTE_x_BSA_x_DCD" localSheetId="13">'2801'!$J$10</definedName>
    <definedName name="_2010_11_Base_Funding_WFTE_x_BSA_x_DCD" localSheetId="14">'2911'!$J$10</definedName>
    <definedName name="_2010_11_Base_Funding_WFTE_x_BSA_x_DCD" localSheetId="15">'2941'!$J$10</definedName>
    <definedName name="_2010_11_Base_Funding_WFTE_x_BSA_x_DCD" localSheetId="16">'3083'!$J$10</definedName>
    <definedName name="_2010_11_Base_Funding_WFTE_x_BSA_x_DCD" localSheetId="17">'3345'!$J$10</definedName>
    <definedName name="_2010_11_Base_Funding_WFTE_x_BSA_x_DCD" localSheetId="18">'3362'!$J$10</definedName>
    <definedName name="_2010_11_Base_Funding_WFTE_x_BSA_x_DCD" localSheetId="19">'3381'!$J$10</definedName>
    <definedName name="_2010_11_Base_Funding_WFTE_x_BSA_x_DCD" localSheetId="20">'3382'!$J$10</definedName>
    <definedName name="_2010_11_Base_Funding_WFTE_x_BSA_x_DCD" localSheetId="21">'3391'!$J$10</definedName>
    <definedName name="_2010_11_Base_Funding_WFTE_x_BSA_x_DCD" localSheetId="22">'3394'!$J$10</definedName>
    <definedName name="_2010_11_Base_Funding_WFTE_x_BSA_x_DCD" localSheetId="23">'3395'!$J$10</definedName>
    <definedName name="_2010_11_Base_Funding_WFTE_x_BSA_x_DCD" localSheetId="24">'3396'!$J$10</definedName>
    <definedName name="_2010_11_Base_Funding_WFTE_x_BSA_x_DCD" localSheetId="25">'3398'!$J$10</definedName>
    <definedName name="_2010_11_Base_Funding_WFTE_x_BSA_x_DCD" localSheetId="26">'3400'!$J$10</definedName>
    <definedName name="_2010_11_Base_Funding_WFTE_x_BSA_x_DCD" localSheetId="27">'3401'!$J$10</definedName>
    <definedName name="_2010_11_Base_Funding_WFTE_x_BSA_x_DCD" localSheetId="28">'3413'!$J$10</definedName>
    <definedName name="_2010_11_Base_Funding_WFTE_x_BSA_x_DCD" localSheetId="29">'3421'!$J$10</definedName>
    <definedName name="_2010_11_Base_Funding_WFTE_x_BSA_x_DCD" localSheetId="30">'3431'!$J$10</definedName>
    <definedName name="_2010_11_Base_Funding_WFTE_x_BSA_x_DCD" localSheetId="31">'3441'!$J$10</definedName>
    <definedName name="_2010_11_Base_Funding_WFTE_x_BSA_x_DCD" localSheetId="32">'3924'!$J$10</definedName>
    <definedName name="_2010_11_Base_Funding_WFTE_x_BSA_x_DCD" localSheetId="33">'3941'!$J$10</definedName>
    <definedName name="_2010_11_Base_Funding_WFTE_x_BSA_x_DCD" localSheetId="34">'3961'!$J$10</definedName>
    <definedName name="_2010_11_Base_Funding_WFTE_x_BSA_x_DCD" localSheetId="35">'3971'!$J$10</definedName>
    <definedName name="_2010_11_Base_Funding_WFTE_x_BSA_x_DCD" localSheetId="36">'4001'!$J$10</definedName>
    <definedName name="_2010_11_Base_Funding_WFTE_x_BSA_x_DCD" localSheetId="37">'4002'!$J$10</definedName>
    <definedName name="_2010_11_Base_Funding_WFTE_x_BSA_x_DCD" localSheetId="38">'4012'!$J$10</definedName>
    <definedName name="_2010_11_Base_Funding_WFTE_x_BSA_x_DCD" localSheetId="39">'4013'!$J$10</definedName>
    <definedName name="_2010_11_Base_Funding_WFTE_x_BSA_x_DCD" localSheetId="40">'4020'!$J$10</definedName>
    <definedName name="_2010_11_Base_Funding_WFTE_x_BSA_x_DCD" localSheetId="41">'4030'!$J$10</definedName>
    <definedName name="_2010_11_Base_Funding_WFTE_x_BSA_x_DCD" localSheetId="42">'4031'!$J$10</definedName>
    <definedName name="_2010_11_Base_Funding_WFTE_x_BSA_x_DCD" localSheetId="43">'4041'!$J$10</definedName>
    <definedName name="_2010_11_Base_Funding_WFTE_x_BSA_x_DCD" localSheetId="44">'4050'!$J$10</definedName>
    <definedName name="_2010_11_Base_Funding_WFTE_x_BSA_x_DCD" localSheetId="45">'4051'!$J$10</definedName>
    <definedName name="_2010_11_Base_Funding_WFTE_x_BSA_x_DCD" localSheetId="46">'4061'!$J$10</definedName>
    <definedName name="_2010_11_Base_Funding_WFTE_x_BSA_x_DCD" localSheetId="47">'4080'!$J$10</definedName>
    <definedName name="_2010_11_Base_Funding_WFTE_x_BSA_x_DCD" localSheetId="48">'4081'!$J$10</definedName>
    <definedName name="_2010_11_Base_Funding_WFTE_x_BSA_x_DCD" localSheetId="49">'4090'!$J$10</definedName>
    <definedName name="_2010_11_Base_Funding_WFTE_x_BSA_x_DCD" localSheetId="50">'4091'!$J$10</definedName>
    <definedName name="_2010_11_Base_Funding_WFTE_x_BSA_x_DCD" localSheetId="51">'4100'!$J$10</definedName>
    <definedName name="_2010_11_Base_Funding_WFTE_x_BSA_x_DCD" localSheetId="52">'4102'!$J$10</definedName>
    <definedName name="_2010_11_Base_Funding_WFTE_x_BSA_x_DCD" localSheetId="53">'4103'!$J$10</definedName>
    <definedName name="_2010_11_Base_Funding_WFTE_x_BSA_x_DCD" localSheetId="54">'4111'!$J$10</definedName>
    <definedName name="_2010_11_Base_Funding_WFTE_x_BSA_x_DCD" localSheetId="55">'4131'!$J$10</definedName>
    <definedName name="_2010_11_Base_Funding_WFTE_x_BSA_x_DCD">'0040'!$J$10</definedName>
    <definedName name="_254_ESE_Level_4__Grade_Level_4_8" localSheetId="7">'0100'!$A$19</definedName>
    <definedName name="_254_ESE_Level_4__Grade_Level_4_8" localSheetId="6">'0571'!$A$19</definedName>
    <definedName name="_254_ESE_Level_4__Grade_Level_4_8" localSheetId="8">'1461'!$A$19</definedName>
    <definedName name="_254_ESE_Level_4__Grade_Level_4_8" localSheetId="9">'1571'!$A$19</definedName>
    <definedName name="_254_ESE_Level_4__Grade_Level_4_8" localSheetId="10">'2521'!$A$19</definedName>
    <definedName name="_254_ESE_Level_4__Grade_Level_4_8" localSheetId="11">'2531'!$A$19</definedName>
    <definedName name="_254_ESE_Level_4__Grade_Level_4_8" localSheetId="12">'2791'!$A$19</definedName>
    <definedName name="_254_ESE_Level_4__Grade_Level_4_8" localSheetId="13">'2801'!$A$19</definedName>
    <definedName name="_254_ESE_Level_4__Grade_Level_4_8" localSheetId="14">'2911'!$A$19</definedName>
    <definedName name="_254_ESE_Level_4__Grade_Level_4_8" localSheetId="15">'2941'!$A$19</definedName>
    <definedName name="_254_ESE_Level_4__Grade_Level_4_8" localSheetId="16">'3083'!$A$19</definedName>
    <definedName name="_254_ESE_Level_4__Grade_Level_4_8" localSheetId="17">'3345'!$A$19</definedName>
    <definedName name="_254_ESE_Level_4__Grade_Level_4_8" localSheetId="18">'3362'!$A$19</definedName>
    <definedName name="_254_ESE_Level_4__Grade_Level_4_8" localSheetId="19">'3381'!$A$19</definedName>
    <definedName name="_254_ESE_Level_4__Grade_Level_4_8" localSheetId="20">'3382'!$A$19</definedName>
    <definedName name="_254_ESE_Level_4__Grade_Level_4_8" localSheetId="21">'3391'!$A$19</definedName>
    <definedName name="_254_ESE_Level_4__Grade_Level_4_8" localSheetId="22">'3394'!$A$19</definedName>
    <definedName name="_254_ESE_Level_4__Grade_Level_4_8" localSheetId="23">'3395'!$A$19</definedName>
    <definedName name="_254_ESE_Level_4__Grade_Level_4_8" localSheetId="24">'3396'!$A$19</definedName>
    <definedName name="_254_ESE_Level_4__Grade_Level_4_8" localSheetId="25">'3398'!$A$19</definedName>
    <definedName name="_254_ESE_Level_4__Grade_Level_4_8" localSheetId="26">'3400'!$A$19</definedName>
    <definedName name="_254_ESE_Level_4__Grade_Level_4_8" localSheetId="27">'3401'!$A$19</definedName>
    <definedName name="_254_ESE_Level_4__Grade_Level_4_8" localSheetId="28">'3413'!$A$19</definedName>
    <definedName name="_254_ESE_Level_4__Grade_Level_4_8" localSheetId="29">'3421'!$A$19</definedName>
    <definedName name="_254_ESE_Level_4__Grade_Level_4_8" localSheetId="30">'3431'!$A$19</definedName>
    <definedName name="_254_ESE_Level_4__Grade_Level_4_8" localSheetId="31">'3441'!$A$19</definedName>
    <definedName name="_254_ESE_Level_4__Grade_Level_4_8" localSheetId="32">'3924'!$A$19</definedName>
    <definedName name="_254_ESE_Level_4__Grade_Level_4_8" localSheetId="33">'3941'!$A$19</definedName>
    <definedName name="_254_ESE_Level_4__Grade_Level_4_8" localSheetId="34">'3961'!$A$19</definedName>
    <definedName name="_254_ESE_Level_4__Grade_Level_4_8" localSheetId="35">'3971'!$A$19</definedName>
    <definedName name="_254_ESE_Level_4__Grade_Level_4_8" localSheetId="36">'4001'!$A$19</definedName>
    <definedName name="_254_ESE_Level_4__Grade_Level_4_8" localSheetId="37">'4002'!$A$19</definedName>
    <definedName name="_254_ESE_Level_4__Grade_Level_4_8" localSheetId="38">'4012'!$A$19</definedName>
    <definedName name="_254_ESE_Level_4__Grade_Level_4_8" localSheetId="39">'4013'!$A$19</definedName>
    <definedName name="_254_ESE_Level_4__Grade_Level_4_8" localSheetId="40">'4020'!$A$19</definedName>
    <definedName name="_254_ESE_Level_4__Grade_Level_4_8" localSheetId="41">'4030'!$A$19</definedName>
    <definedName name="_254_ESE_Level_4__Grade_Level_4_8" localSheetId="42">'4031'!$A$19</definedName>
    <definedName name="_254_ESE_Level_4__Grade_Level_4_8" localSheetId="43">'4041'!$A$19</definedName>
    <definedName name="_254_ESE_Level_4__Grade_Level_4_8" localSheetId="44">'4050'!$A$19</definedName>
    <definedName name="_254_ESE_Level_4__Grade_Level_4_8" localSheetId="45">'4051'!$A$19</definedName>
    <definedName name="_254_ESE_Level_4__Grade_Level_4_8" localSheetId="46">'4061'!$A$19</definedName>
    <definedName name="_254_ESE_Level_4__Grade_Level_4_8" localSheetId="47">'4080'!$A$19</definedName>
    <definedName name="_254_ESE_Level_4__Grade_Level_4_8" localSheetId="48">'4081'!$A$19</definedName>
    <definedName name="_254_ESE_Level_4__Grade_Level_4_8" localSheetId="49">'4090'!$A$19</definedName>
    <definedName name="_254_ESE_Level_4__Grade_Level_4_8" localSheetId="50">'4091'!$A$19</definedName>
    <definedName name="_254_ESE_Level_4__Grade_Level_4_8" localSheetId="51">'4100'!$A$19</definedName>
    <definedName name="_254_ESE_Level_4__Grade_Level_4_8" localSheetId="52">'4102'!$A$19</definedName>
    <definedName name="_254_ESE_Level_4__Grade_Level_4_8" localSheetId="53">'4103'!$A$19</definedName>
    <definedName name="_254_ESE_Level_4__Grade_Level_4_8" localSheetId="54">'4111'!$A$19</definedName>
    <definedName name="_254_ESE_Level_4__Grade_Level_4_8" localSheetId="55">'4131'!$A$19</definedName>
    <definedName name="_254_ESE_Level_4__Grade_Level_4_8">'0040'!$A$19</definedName>
    <definedName name="_254_ESE_Level_4__Grade_Level_9_12" localSheetId="7">'0100'!$A$20</definedName>
    <definedName name="_254_ESE_Level_4__Grade_Level_9_12" localSheetId="6">'0571'!$A$20</definedName>
    <definedName name="_254_ESE_Level_4__Grade_Level_9_12" localSheetId="8">'1461'!$A$20</definedName>
    <definedName name="_254_ESE_Level_4__Grade_Level_9_12" localSheetId="9">'1571'!$A$20</definedName>
    <definedName name="_254_ESE_Level_4__Grade_Level_9_12" localSheetId="10">'2521'!$A$20</definedName>
    <definedName name="_254_ESE_Level_4__Grade_Level_9_12" localSheetId="11">'2531'!$A$20</definedName>
    <definedName name="_254_ESE_Level_4__Grade_Level_9_12" localSheetId="12">'2791'!$A$20</definedName>
    <definedName name="_254_ESE_Level_4__Grade_Level_9_12" localSheetId="13">'2801'!$A$20</definedName>
    <definedName name="_254_ESE_Level_4__Grade_Level_9_12" localSheetId="14">'2911'!$A$20</definedName>
    <definedName name="_254_ESE_Level_4__Grade_Level_9_12" localSheetId="15">'2941'!$A$20</definedName>
    <definedName name="_254_ESE_Level_4__Grade_Level_9_12" localSheetId="16">'3083'!$A$20</definedName>
    <definedName name="_254_ESE_Level_4__Grade_Level_9_12" localSheetId="17">'3345'!$A$20</definedName>
    <definedName name="_254_ESE_Level_4__Grade_Level_9_12" localSheetId="18">'3362'!$A$20</definedName>
    <definedName name="_254_ESE_Level_4__Grade_Level_9_12" localSheetId="19">'3381'!$A$20</definedName>
    <definedName name="_254_ESE_Level_4__Grade_Level_9_12" localSheetId="20">'3382'!$A$20</definedName>
    <definedName name="_254_ESE_Level_4__Grade_Level_9_12" localSheetId="21">'3391'!$A$20</definedName>
    <definedName name="_254_ESE_Level_4__Grade_Level_9_12" localSheetId="22">'3394'!$A$20</definedName>
    <definedName name="_254_ESE_Level_4__Grade_Level_9_12" localSheetId="23">'3395'!$A$20</definedName>
    <definedName name="_254_ESE_Level_4__Grade_Level_9_12" localSheetId="24">'3396'!$A$20</definedName>
    <definedName name="_254_ESE_Level_4__Grade_Level_9_12" localSheetId="25">'3398'!$A$20</definedName>
    <definedName name="_254_ESE_Level_4__Grade_Level_9_12" localSheetId="26">'3400'!$A$20</definedName>
    <definedName name="_254_ESE_Level_4__Grade_Level_9_12" localSheetId="27">'3401'!$A$20</definedName>
    <definedName name="_254_ESE_Level_4__Grade_Level_9_12" localSheetId="28">'3413'!$A$20</definedName>
    <definedName name="_254_ESE_Level_4__Grade_Level_9_12" localSheetId="29">'3421'!$A$20</definedName>
    <definedName name="_254_ESE_Level_4__Grade_Level_9_12" localSheetId="30">'3431'!$A$20</definedName>
    <definedName name="_254_ESE_Level_4__Grade_Level_9_12" localSheetId="31">'3441'!$A$20</definedName>
    <definedName name="_254_ESE_Level_4__Grade_Level_9_12" localSheetId="32">'3924'!$A$20</definedName>
    <definedName name="_254_ESE_Level_4__Grade_Level_9_12" localSheetId="33">'3941'!$A$20</definedName>
    <definedName name="_254_ESE_Level_4__Grade_Level_9_12" localSheetId="34">'3961'!$A$20</definedName>
    <definedName name="_254_ESE_Level_4__Grade_Level_9_12" localSheetId="35">'3971'!$A$20</definedName>
    <definedName name="_254_ESE_Level_4__Grade_Level_9_12" localSheetId="36">'4001'!$A$20</definedName>
    <definedName name="_254_ESE_Level_4__Grade_Level_9_12" localSheetId="37">'4002'!$A$20</definedName>
    <definedName name="_254_ESE_Level_4__Grade_Level_9_12" localSheetId="38">'4012'!$A$20</definedName>
    <definedName name="_254_ESE_Level_4__Grade_Level_9_12" localSheetId="39">'4013'!$A$20</definedName>
    <definedName name="_254_ESE_Level_4__Grade_Level_9_12" localSheetId="40">'4020'!$A$20</definedName>
    <definedName name="_254_ESE_Level_4__Grade_Level_9_12" localSheetId="41">'4030'!$A$20</definedName>
    <definedName name="_254_ESE_Level_4__Grade_Level_9_12" localSheetId="42">'4031'!$A$20</definedName>
    <definedName name="_254_ESE_Level_4__Grade_Level_9_12" localSheetId="43">'4041'!$A$20</definedName>
    <definedName name="_254_ESE_Level_4__Grade_Level_9_12" localSheetId="44">'4050'!$A$20</definedName>
    <definedName name="_254_ESE_Level_4__Grade_Level_9_12" localSheetId="45">'4051'!$A$20</definedName>
    <definedName name="_254_ESE_Level_4__Grade_Level_9_12" localSheetId="46">'4061'!$A$20</definedName>
    <definedName name="_254_ESE_Level_4__Grade_Level_9_12" localSheetId="47">'4080'!$A$20</definedName>
    <definedName name="_254_ESE_Level_4__Grade_Level_9_12" localSheetId="48">'4081'!$A$20</definedName>
    <definedName name="_254_ESE_Level_4__Grade_Level_9_12" localSheetId="49">'4090'!$A$20</definedName>
    <definedName name="_254_ESE_Level_4__Grade_Level_9_12" localSheetId="50">'4091'!$A$20</definedName>
    <definedName name="_254_ESE_Level_4__Grade_Level_9_12" localSheetId="51">'4100'!$A$20</definedName>
    <definedName name="_254_ESE_Level_4__Grade_Level_9_12" localSheetId="52">'4102'!$A$20</definedName>
    <definedName name="_254_ESE_Level_4__Grade_Level_9_12" localSheetId="53">'4103'!$A$20</definedName>
    <definedName name="_254_ESE_Level_4__Grade_Level_9_12" localSheetId="54">'4111'!$A$20</definedName>
    <definedName name="_254_ESE_Level_4__Grade_Level_9_12" localSheetId="55">'4131'!$A$20</definedName>
    <definedName name="_254_ESE_Level_4__Grade_Level_9_12">'0040'!$A$20</definedName>
    <definedName name="_254_ESE_Level_4__Grade_Level_PK_3" localSheetId="7">'0100'!$A$18</definedName>
    <definedName name="_254_ESE_Level_4__Grade_Level_PK_3" localSheetId="6">'0571'!$A$18</definedName>
    <definedName name="_254_ESE_Level_4__Grade_Level_PK_3" localSheetId="8">'1461'!$A$18</definedName>
    <definedName name="_254_ESE_Level_4__Grade_Level_PK_3" localSheetId="9">'1571'!$A$18</definedName>
    <definedName name="_254_ESE_Level_4__Grade_Level_PK_3" localSheetId="10">'2521'!$A$18</definedName>
    <definedName name="_254_ESE_Level_4__Grade_Level_PK_3" localSheetId="11">'2531'!$A$18</definedName>
    <definedName name="_254_ESE_Level_4__Grade_Level_PK_3" localSheetId="12">'2791'!$A$18</definedName>
    <definedName name="_254_ESE_Level_4__Grade_Level_PK_3" localSheetId="13">'2801'!$A$18</definedName>
    <definedName name="_254_ESE_Level_4__Grade_Level_PK_3" localSheetId="14">'2911'!$A$18</definedName>
    <definedName name="_254_ESE_Level_4__Grade_Level_PK_3" localSheetId="15">'2941'!$A$18</definedName>
    <definedName name="_254_ESE_Level_4__Grade_Level_PK_3" localSheetId="16">'3083'!$A$18</definedName>
    <definedName name="_254_ESE_Level_4__Grade_Level_PK_3" localSheetId="17">'3345'!$A$18</definedName>
    <definedName name="_254_ESE_Level_4__Grade_Level_PK_3" localSheetId="18">'3362'!$A$18</definedName>
    <definedName name="_254_ESE_Level_4__Grade_Level_PK_3" localSheetId="19">'3381'!$A$18</definedName>
    <definedName name="_254_ESE_Level_4__Grade_Level_PK_3" localSheetId="20">'3382'!$A$18</definedName>
    <definedName name="_254_ESE_Level_4__Grade_Level_PK_3" localSheetId="21">'3391'!$A$18</definedName>
    <definedName name="_254_ESE_Level_4__Grade_Level_PK_3" localSheetId="22">'3394'!$A$18</definedName>
    <definedName name="_254_ESE_Level_4__Grade_Level_PK_3" localSheetId="23">'3395'!$A$18</definedName>
    <definedName name="_254_ESE_Level_4__Grade_Level_PK_3" localSheetId="24">'3396'!$A$18</definedName>
    <definedName name="_254_ESE_Level_4__Grade_Level_PK_3" localSheetId="25">'3398'!$A$18</definedName>
    <definedName name="_254_ESE_Level_4__Grade_Level_PK_3" localSheetId="26">'3400'!$A$18</definedName>
    <definedName name="_254_ESE_Level_4__Grade_Level_PK_3" localSheetId="27">'3401'!$A$18</definedName>
    <definedName name="_254_ESE_Level_4__Grade_Level_PK_3" localSheetId="28">'3413'!$A$18</definedName>
    <definedName name="_254_ESE_Level_4__Grade_Level_PK_3" localSheetId="29">'3421'!$A$18</definedName>
    <definedName name="_254_ESE_Level_4__Grade_Level_PK_3" localSheetId="30">'3431'!$A$18</definedName>
    <definedName name="_254_ESE_Level_4__Grade_Level_PK_3" localSheetId="31">'3441'!$A$18</definedName>
    <definedName name="_254_ESE_Level_4__Grade_Level_PK_3" localSheetId="32">'3924'!$A$18</definedName>
    <definedName name="_254_ESE_Level_4__Grade_Level_PK_3" localSheetId="33">'3941'!$A$18</definedName>
    <definedName name="_254_ESE_Level_4__Grade_Level_PK_3" localSheetId="34">'3961'!$A$18</definedName>
    <definedName name="_254_ESE_Level_4__Grade_Level_PK_3" localSheetId="35">'3971'!$A$18</definedName>
    <definedName name="_254_ESE_Level_4__Grade_Level_PK_3" localSheetId="36">'4001'!$A$18</definedName>
    <definedName name="_254_ESE_Level_4__Grade_Level_PK_3" localSheetId="37">'4002'!$A$18</definedName>
    <definedName name="_254_ESE_Level_4__Grade_Level_PK_3" localSheetId="38">'4012'!$A$18</definedName>
    <definedName name="_254_ESE_Level_4__Grade_Level_PK_3" localSheetId="39">'4013'!$A$18</definedName>
    <definedName name="_254_ESE_Level_4__Grade_Level_PK_3" localSheetId="40">'4020'!$A$18</definedName>
    <definedName name="_254_ESE_Level_4__Grade_Level_PK_3" localSheetId="41">'4030'!$A$18</definedName>
    <definedName name="_254_ESE_Level_4__Grade_Level_PK_3" localSheetId="42">'4031'!$A$18</definedName>
    <definedName name="_254_ESE_Level_4__Grade_Level_PK_3" localSheetId="43">'4041'!$A$18</definedName>
    <definedName name="_254_ESE_Level_4__Grade_Level_PK_3" localSheetId="44">'4050'!$A$18</definedName>
    <definedName name="_254_ESE_Level_4__Grade_Level_PK_3" localSheetId="45">'4051'!$A$18</definedName>
    <definedName name="_254_ESE_Level_4__Grade_Level_PK_3" localSheetId="46">'4061'!$A$18</definedName>
    <definedName name="_254_ESE_Level_4__Grade_Level_PK_3" localSheetId="47">'4080'!$A$18</definedName>
    <definedName name="_254_ESE_Level_4__Grade_Level_PK_3" localSheetId="48">'4081'!$A$18</definedName>
    <definedName name="_254_ESE_Level_4__Grade_Level_PK_3" localSheetId="49">'4090'!$A$18</definedName>
    <definedName name="_254_ESE_Level_4__Grade_Level_PK_3" localSheetId="50">'4091'!$A$18</definedName>
    <definedName name="_254_ESE_Level_4__Grade_Level_PK_3" localSheetId="51">'4100'!$A$18</definedName>
    <definedName name="_254_ESE_Level_4__Grade_Level_PK_3" localSheetId="52">'4102'!$A$18</definedName>
    <definedName name="_254_ESE_Level_4__Grade_Level_PK_3" localSheetId="53">'4103'!$A$18</definedName>
    <definedName name="_254_ESE_Level_4__Grade_Level_PK_3" localSheetId="54">'4111'!$A$18</definedName>
    <definedName name="_254_ESE_Level_4__Grade_Level_PK_3" localSheetId="55">'4131'!$A$18</definedName>
    <definedName name="_254_ESE_Level_4__Grade_Level_PK_3">'0040'!$A$18</definedName>
    <definedName name="_255_ESE_Level_5__Grade_Level_4_8" localSheetId="7">'0100'!$A$22</definedName>
    <definedName name="_255_ESE_Level_5__Grade_Level_4_8" localSheetId="6">'0571'!$A$22</definedName>
    <definedName name="_255_ESE_Level_5__Grade_Level_4_8" localSheetId="8">'1461'!$A$22</definedName>
    <definedName name="_255_ESE_Level_5__Grade_Level_4_8" localSheetId="9">'1571'!$A$22</definedName>
    <definedName name="_255_ESE_Level_5__Grade_Level_4_8" localSheetId="10">'2521'!$A$22</definedName>
    <definedName name="_255_ESE_Level_5__Grade_Level_4_8" localSheetId="11">'2531'!$A$22</definedName>
    <definedName name="_255_ESE_Level_5__Grade_Level_4_8" localSheetId="12">'2791'!$A$22</definedName>
    <definedName name="_255_ESE_Level_5__Grade_Level_4_8" localSheetId="13">'2801'!$A$22</definedName>
    <definedName name="_255_ESE_Level_5__Grade_Level_4_8" localSheetId="14">'2911'!$A$22</definedName>
    <definedName name="_255_ESE_Level_5__Grade_Level_4_8" localSheetId="15">'2941'!$A$22</definedName>
    <definedName name="_255_ESE_Level_5__Grade_Level_4_8" localSheetId="16">'3083'!$A$22</definedName>
    <definedName name="_255_ESE_Level_5__Grade_Level_4_8" localSheetId="17">'3345'!$A$22</definedName>
    <definedName name="_255_ESE_Level_5__Grade_Level_4_8" localSheetId="18">'3362'!$A$22</definedName>
    <definedName name="_255_ESE_Level_5__Grade_Level_4_8" localSheetId="19">'3381'!$A$22</definedName>
    <definedName name="_255_ESE_Level_5__Grade_Level_4_8" localSheetId="20">'3382'!$A$22</definedName>
    <definedName name="_255_ESE_Level_5__Grade_Level_4_8" localSheetId="21">'3391'!$A$22</definedName>
    <definedName name="_255_ESE_Level_5__Grade_Level_4_8" localSheetId="22">'3394'!$A$22</definedName>
    <definedName name="_255_ESE_Level_5__Grade_Level_4_8" localSheetId="23">'3395'!$A$22</definedName>
    <definedName name="_255_ESE_Level_5__Grade_Level_4_8" localSheetId="24">'3396'!$A$22</definedName>
    <definedName name="_255_ESE_Level_5__Grade_Level_4_8" localSheetId="25">'3398'!$A$22</definedName>
    <definedName name="_255_ESE_Level_5__Grade_Level_4_8" localSheetId="26">'3400'!$A$22</definedName>
    <definedName name="_255_ESE_Level_5__Grade_Level_4_8" localSheetId="27">'3401'!$A$22</definedName>
    <definedName name="_255_ESE_Level_5__Grade_Level_4_8" localSheetId="28">'3413'!$A$22</definedName>
    <definedName name="_255_ESE_Level_5__Grade_Level_4_8" localSheetId="29">'3421'!$A$22</definedName>
    <definedName name="_255_ESE_Level_5__Grade_Level_4_8" localSheetId="30">'3431'!$A$22</definedName>
    <definedName name="_255_ESE_Level_5__Grade_Level_4_8" localSheetId="31">'3441'!$A$22</definedName>
    <definedName name="_255_ESE_Level_5__Grade_Level_4_8" localSheetId="32">'3924'!$A$22</definedName>
    <definedName name="_255_ESE_Level_5__Grade_Level_4_8" localSheetId="33">'3941'!$A$22</definedName>
    <definedName name="_255_ESE_Level_5__Grade_Level_4_8" localSheetId="34">'3961'!$A$22</definedName>
    <definedName name="_255_ESE_Level_5__Grade_Level_4_8" localSheetId="35">'3971'!$A$22</definedName>
    <definedName name="_255_ESE_Level_5__Grade_Level_4_8" localSheetId="36">'4001'!$A$22</definedName>
    <definedName name="_255_ESE_Level_5__Grade_Level_4_8" localSheetId="37">'4002'!$A$22</definedName>
    <definedName name="_255_ESE_Level_5__Grade_Level_4_8" localSheetId="38">'4012'!$A$22</definedName>
    <definedName name="_255_ESE_Level_5__Grade_Level_4_8" localSheetId="39">'4013'!$A$22</definedName>
    <definedName name="_255_ESE_Level_5__Grade_Level_4_8" localSheetId="40">'4020'!$A$22</definedName>
    <definedName name="_255_ESE_Level_5__Grade_Level_4_8" localSheetId="41">'4030'!$A$22</definedName>
    <definedName name="_255_ESE_Level_5__Grade_Level_4_8" localSheetId="42">'4031'!$A$22</definedName>
    <definedName name="_255_ESE_Level_5__Grade_Level_4_8" localSheetId="43">'4041'!$A$22</definedName>
    <definedName name="_255_ESE_Level_5__Grade_Level_4_8" localSheetId="44">'4050'!$A$22</definedName>
    <definedName name="_255_ESE_Level_5__Grade_Level_4_8" localSheetId="45">'4051'!$A$22</definedName>
    <definedName name="_255_ESE_Level_5__Grade_Level_4_8" localSheetId="46">'4061'!$A$22</definedName>
    <definedName name="_255_ESE_Level_5__Grade_Level_4_8" localSheetId="47">'4080'!$A$22</definedName>
    <definedName name="_255_ESE_Level_5__Grade_Level_4_8" localSheetId="48">'4081'!$A$22</definedName>
    <definedName name="_255_ESE_Level_5__Grade_Level_4_8" localSheetId="49">'4090'!$A$22</definedName>
    <definedName name="_255_ESE_Level_5__Grade_Level_4_8" localSheetId="50">'4091'!$A$22</definedName>
    <definedName name="_255_ESE_Level_5__Grade_Level_4_8" localSheetId="51">'4100'!$A$22</definedName>
    <definedName name="_255_ESE_Level_5__Grade_Level_4_8" localSheetId="52">'4102'!$A$22</definedName>
    <definedName name="_255_ESE_Level_5__Grade_Level_4_8" localSheetId="53">'4103'!$A$22</definedName>
    <definedName name="_255_ESE_Level_5__Grade_Level_4_8" localSheetId="54">'4111'!$A$22</definedName>
    <definedName name="_255_ESE_Level_5__Grade_Level_4_8" localSheetId="55">'4131'!$A$22</definedName>
    <definedName name="_255_ESE_Level_5__Grade_Level_4_8">'0040'!$A$22</definedName>
    <definedName name="_255_ESE_Level_5__Grade_Level_9_12" localSheetId="7">'0100'!$A$23</definedName>
    <definedName name="_255_ESE_Level_5__Grade_Level_9_12" localSheetId="6">'0571'!$A$23</definedName>
    <definedName name="_255_ESE_Level_5__Grade_Level_9_12" localSheetId="8">'1461'!$A$23</definedName>
    <definedName name="_255_ESE_Level_5__Grade_Level_9_12" localSheetId="9">'1571'!$A$23</definedName>
    <definedName name="_255_ESE_Level_5__Grade_Level_9_12" localSheetId="10">'2521'!$A$23</definedName>
    <definedName name="_255_ESE_Level_5__Grade_Level_9_12" localSheetId="11">'2531'!$A$23</definedName>
    <definedName name="_255_ESE_Level_5__Grade_Level_9_12" localSheetId="12">'2791'!$A$23</definedName>
    <definedName name="_255_ESE_Level_5__Grade_Level_9_12" localSheetId="13">'2801'!$A$23</definedName>
    <definedName name="_255_ESE_Level_5__Grade_Level_9_12" localSheetId="14">'2911'!$A$23</definedName>
    <definedName name="_255_ESE_Level_5__Grade_Level_9_12" localSheetId="15">'2941'!$A$23</definedName>
    <definedName name="_255_ESE_Level_5__Grade_Level_9_12" localSheetId="16">'3083'!$A$23</definedName>
    <definedName name="_255_ESE_Level_5__Grade_Level_9_12" localSheetId="17">'3345'!$A$23</definedName>
    <definedName name="_255_ESE_Level_5__Grade_Level_9_12" localSheetId="18">'3362'!$A$23</definedName>
    <definedName name="_255_ESE_Level_5__Grade_Level_9_12" localSheetId="19">'3381'!$A$23</definedName>
    <definedName name="_255_ESE_Level_5__Grade_Level_9_12" localSheetId="20">'3382'!$A$23</definedName>
    <definedName name="_255_ESE_Level_5__Grade_Level_9_12" localSheetId="21">'3391'!$A$23</definedName>
    <definedName name="_255_ESE_Level_5__Grade_Level_9_12" localSheetId="22">'3394'!$A$23</definedName>
    <definedName name="_255_ESE_Level_5__Grade_Level_9_12" localSheetId="23">'3395'!$A$23</definedName>
    <definedName name="_255_ESE_Level_5__Grade_Level_9_12" localSheetId="24">'3396'!$A$23</definedName>
    <definedName name="_255_ESE_Level_5__Grade_Level_9_12" localSheetId="25">'3398'!$A$23</definedName>
    <definedName name="_255_ESE_Level_5__Grade_Level_9_12" localSheetId="26">'3400'!$A$23</definedName>
    <definedName name="_255_ESE_Level_5__Grade_Level_9_12" localSheetId="27">'3401'!$A$23</definedName>
    <definedName name="_255_ESE_Level_5__Grade_Level_9_12" localSheetId="28">'3413'!$A$23</definedName>
    <definedName name="_255_ESE_Level_5__Grade_Level_9_12" localSheetId="29">'3421'!$A$23</definedName>
    <definedName name="_255_ESE_Level_5__Grade_Level_9_12" localSheetId="30">'3431'!$A$23</definedName>
    <definedName name="_255_ESE_Level_5__Grade_Level_9_12" localSheetId="31">'3441'!$A$23</definedName>
    <definedName name="_255_ESE_Level_5__Grade_Level_9_12" localSheetId="32">'3924'!$A$23</definedName>
    <definedName name="_255_ESE_Level_5__Grade_Level_9_12" localSheetId="33">'3941'!$A$23</definedName>
    <definedName name="_255_ESE_Level_5__Grade_Level_9_12" localSheetId="34">'3961'!$A$23</definedName>
    <definedName name="_255_ESE_Level_5__Grade_Level_9_12" localSheetId="35">'3971'!$A$23</definedName>
    <definedName name="_255_ESE_Level_5__Grade_Level_9_12" localSheetId="36">'4001'!$A$23</definedName>
    <definedName name="_255_ESE_Level_5__Grade_Level_9_12" localSheetId="37">'4002'!$A$23</definedName>
    <definedName name="_255_ESE_Level_5__Grade_Level_9_12" localSheetId="38">'4012'!$A$23</definedName>
    <definedName name="_255_ESE_Level_5__Grade_Level_9_12" localSheetId="39">'4013'!$A$23</definedName>
    <definedName name="_255_ESE_Level_5__Grade_Level_9_12" localSheetId="40">'4020'!$A$23</definedName>
    <definedName name="_255_ESE_Level_5__Grade_Level_9_12" localSheetId="41">'4030'!$A$23</definedName>
    <definedName name="_255_ESE_Level_5__Grade_Level_9_12" localSheetId="42">'4031'!$A$23</definedName>
    <definedName name="_255_ESE_Level_5__Grade_Level_9_12" localSheetId="43">'4041'!$A$23</definedName>
    <definedName name="_255_ESE_Level_5__Grade_Level_9_12" localSheetId="44">'4050'!$A$23</definedName>
    <definedName name="_255_ESE_Level_5__Grade_Level_9_12" localSheetId="45">'4051'!$A$23</definedName>
    <definedName name="_255_ESE_Level_5__Grade_Level_9_12" localSheetId="46">'4061'!$A$23</definedName>
    <definedName name="_255_ESE_Level_5__Grade_Level_9_12" localSheetId="47">'4080'!$A$23</definedName>
    <definedName name="_255_ESE_Level_5__Grade_Level_9_12" localSheetId="48">'4081'!$A$23</definedName>
    <definedName name="_255_ESE_Level_5__Grade_Level_9_12" localSheetId="49">'4090'!$A$23</definedName>
    <definedName name="_255_ESE_Level_5__Grade_Level_9_12" localSheetId="50">'4091'!$A$23</definedName>
    <definedName name="_255_ESE_Level_5__Grade_Level_9_12" localSheetId="51">'4100'!$A$23</definedName>
    <definedName name="_255_ESE_Level_5__Grade_Level_9_12" localSheetId="52">'4102'!$A$23</definedName>
    <definedName name="_255_ESE_Level_5__Grade_Level_9_12" localSheetId="53">'4103'!$A$23</definedName>
    <definedName name="_255_ESE_Level_5__Grade_Level_9_12" localSheetId="54">'4111'!$A$23</definedName>
    <definedName name="_255_ESE_Level_5__Grade_Level_9_12" localSheetId="55">'4131'!$A$23</definedName>
    <definedName name="_255_ESE_Level_5__Grade_Level_9_12">'0040'!$A$23</definedName>
    <definedName name="_255_ESE_Level_5__Grade_Level_PK_3" localSheetId="7">'0100'!$A$21</definedName>
    <definedName name="_255_ESE_Level_5__Grade_Level_PK_3" localSheetId="6">'0571'!$A$21</definedName>
    <definedName name="_255_ESE_Level_5__Grade_Level_PK_3" localSheetId="8">'1461'!$A$21</definedName>
    <definedName name="_255_ESE_Level_5__Grade_Level_PK_3" localSheetId="9">'1571'!$A$21</definedName>
    <definedName name="_255_ESE_Level_5__Grade_Level_PK_3" localSheetId="10">'2521'!$A$21</definedName>
    <definedName name="_255_ESE_Level_5__Grade_Level_PK_3" localSheetId="11">'2531'!$A$21</definedName>
    <definedName name="_255_ESE_Level_5__Grade_Level_PK_3" localSheetId="12">'2791'!$A$21</definedName>
    <definedName name="_255_ESE_Level_5__Grade_Level_PK_3" localSheetId="13">'2801'!$A$21</definedName>
    <definedName name="_255_ESE_Level_5__Grade_Level_PK_3" localSheetId="14">'2911'!$A$21</definedName>
    <definedName name="_255_ESE_Level_5__Grade_Level_PK_3" localSheetId="15">'2941'!$A$21</definedName>
    <definedName name="_255_ESE_Level_5__Grade_Level_PK_3" localSheetId="16">'3083'!$A$21</definedName>
    <definedName name="_255_ESE_Level_5__Grade_Level_PK_3" localSheetId="17">'3345'!$A$21</definedName>
    <definedName name="_255_ESE_Level_5__Grade_Level_PK_3" localSheetId="18">'3362'!$A$21</definedName>
    <definedName name="_255_ESE_Level_5__Grade_Level_PK_3" localSheetId="19">'3381'!$A$21</definedName>
    <definedName name="_255_ESE_Level_5__Grade_Level_PK_3" localSheetId="20">'3382'!$A$21</definedName>
    <definedName name="_255_ESE_Level_5__Grade_Level_PK_3" localSheetId="21">'3391'!$A$21</definedName>
    <definedName name="_255_ESE_Level_5__Grade_Level_PK_3" localSheetId="22">'3394'!$A$21</definedName>
    <definedName name="_255_ESE_Level_5__Grade_Level_PK_3" localSheetId="23">'3395'!$A$21</definedName>
    <definedName name="_255_ESE_Level_5__Grade_Level_PK_3" localSheetId="24">'3396'!$A$21</definedName>
    <definedName name="_255_ESE_Level_5__Grade_Level_PK_3" localSheetId="25">'3398'!$A$21</definedName>
    <definedName name="_255_ESE_Level_5__Grade_Level_PK_3" localSheetId="26">'3400'!$A$21</definedName>
    <definedName name="_255_ESE_Level_5__Grade_Level_PK_3" localSheetId="27">'3401'!$A$21</definedName>
    <definedName name="_255_ESE_Level_5__Grade_Level_PK_3" localSheetId="28">'3413'!$A$21</definedName>
    <definedName name="_255_ESE_Level_5__Grade_Level_PK_3" localSheetId="29">'3421'!$A$21</definedName>
    <definedName name="_255_ESE_Level_5__Grade_Level_PK_3" localSheetId="30">'3431'!$A$21</definedName>
    <definedName name="_255_ESE_Level_5__Grade_Level_PK_3" localSheetId="31">'3441'!$A$21</definedName>
    <definedName name="_255_ESE_Level_5__Grade_Level_PK_3" localSheetId="32">'3924'!$A$21</definedName>
    <definedName name="_255_ESE_Level_5__Grade_Level_PK_3" localSheetId="33">'3941'!$A$21</definedName>
    <definedName name="_255_ESE_Level_5__Grade_Level_PK_3" localSheetId="34">'3961'!$A$21</definedName>
    <definedName name="_255_ESE_Level_5__Grade_Level_PK_3" localSheetId="35">'3971'!$A$21</definedName>
    <definedName name="_255_ESE_Level_5__Grade_Level_PK_3" localSheetId="36">'4001'!$A$21</definedName>
    <definedName name="_255_ESE_Level_5__Grade_Level_PK_3" localSheetId="37">'4002'!$A$21</definedName>
    <definedName name="_255_ESE_Level_5__Grade_Level_PK_3" localSheetId="38">'4012'!$A$21</definedName>
    <definedName name="_255_ESE_Level_5__Grade_Level_PK_3" localSheetId="39">'4013'!$A$21</definedName>
    <definedName name="_255_ESE_Level_5__Grade_Level_PK_3" localSheetId="40">'4020'!$A$21</definedName>
    <definedName name="_255_ESE_Level_5__Grade_Level_PK_3" localSheetId="41">'4030'!$A$21</definedName>
    <definedName name="_255_ESE_Level_5__Grade_Level_PK_3" localSheetId="42">'4031'!$A$21</definedName>
    <definedName name="_255_ESE_Level_5__Grade_Level_PK_3" localSheetId="43">'4041'!$A$21</definedName>
    <definedName name="_255_ESE_Level_5__Grade_Level_PK_3" localSheetId="44">'4050'!$A$21</definedName>
    <definedName name="_255_ESE_Level_5__Grade_Level_PK_3" localSheetId="45">'4051'!$A$21</definedName>
    <definedName name="_255_ESE_Level_5__Grade_Level_PK_3" localSheetId="46">'4061'!$A$21</definedName>
    <definedName name="_255_ESE_Level_5__Grade_Level_PK_3" localSheetId="47">'4080'!$A$21</definedName>
    <definedName name="_255_ESE_Level_5__Grade_Level_PK_3" localSheetId="48">'4081'!$A$21</definedName>
    <definedName name="_255_ESE_Level_5__Grade_Level_PK_3" localSheetId="49">'4090'!$A$21</definedName>
    <definedName name="_255_ESE_Level_5__Grade_Level_PK_3" localSheetId="50">'4091'!$A$21</definedName>
    <definedName name="_255_ESE_Level_5__Grade_Level_PK_3" localSheetId="51">'4100'!$A$21</definedName>
    <definedName name="_255_ESE_Level_5__Grade_Level_PK_3" localSheetId="52">'4102'!$A$21</definedName>
    <definedName name="_255_ESE_Level_5__Grade_Level_PK_3" localSheetId="53">'4103'!$A$21</definedName>
    <definedName name="_255_ESE_Level_5__Grade_Level_PK_3" localSheetId="54">'4111'!$A$21</definedName>
    <definedName name="_255_ESE_Level_5__Grade_Level_PK_3" localSheetId="55">'4131'!$A$21</definedName>
    <definedName name="_255_ESE_Level_5__Grade_Level_PK_3">'0040'!$A$21</definedName>
    <definedName name="_3.__Supplemental_Academic_Instruction" localSheetId="7">'0100'!#REF!</definedName>
    <definedName name="_3.__Supplemental_Academic_Instruction" localSheetId="6">'0571'!#REF!</definedName>
    <definedName name="_3.__Supplemental_Academic_Instruction" localSheetId="8">'1461'!#REF!</definedName>
    <definedName name="_3.__Supplemental_Academic_Instruction" localSheetId="9">'1571'!#REF!</definedName>
    <definedName name="_3.__Supplemental_Academic_Instruction" localSheetId="10">'2521'!#REF!</definedName>
    <definedName name="_3.__Supplemental_Academic_Instruction" localSheetId="11">'2531'!#REF!</definedName>
    <definedName name="_3.__Supplemental_Academic_Instruction" localSheetId="12">'2791'!#REF!</definedName>
    <definedName name="_3.__Supplemental_Academic_Instruction" localSheetId="13">'2801'!#REF!</definedName>
    <definedName name="_3.__Supplemental_Academic_Instruction" localSheetId="14">'2911'!#REF!</definedName>
    <definedName name="_3.__Supplemental_Academic_Instruction" localSheetId="15">'2941'!#REF!</definedName>
    <definedName name="_3.__Supplemental_Academic_Instruction" localSheetId="16">'3083'!#REF!</definedName>
    <definedName name="_3.__Supplemental_Academic_Instruction" localSheetId="17">'3345'!#REF!</definedName>
    <definedName name="_3.__Supplemental_Academic_Instruction" localSheetId="18">'3362'!#REF!</definedName>
    <definedName name="_3.__Supplemental_Academic_Instruction" localSheetId="19">'3381'!#REF!</definedName>
    <definedName name="_3.__Supplemental_Academic_Instruction" localSheetId="20">'3382'!#REF!</definedName>
    <definedName name="_3.__Supplemental_Academic_Instruction" localSheetId="21">'3391'!#REF!</definedName>
    <definedName name="_3.__Supplemental_Academic_Instruction" localSheetId="22">'3394'!#REF!</definedName>
    <definedName name="_3.__Supplemental_Academic_Instruction" localSheetId="23">'3395'!#REF!</definedName>
    <definedName name="_3.__Supplemental_Academic_Instruction" localSheetId="24">'3396'!#REF!</definedName>
    <definedName name="_3.__Supplemental_Academic_Instruction" localSheetId="25">'3398'!#REF!</definedName>
    <definedName name="_3.__Supplemental_Academic_Instruction" localSheetId="26">'3400'!#REF!</definedName>
    <definedName name="_3.__Supplemental_Academic_Instruction" localSheetId="27">'3401'!#REF!</definedName>
    <definedName name="_3.__Supplemental_Academic_Instruction" localSheetId="28">'3413'!#REF!</definedName>
    <definedName name="_3.__Supplemental_Academic_Instruction" localSheetId="29">'3421'!#REF!</definedName>
    <definedName name="_3.__Supplemental_Academic_Instruction" localSheetId="30">'3431'!#REF!</definedName>
    <definedName name="_3.__Supplemental_Academic_Instruction" localSheetId="31">'3441'!#REF!</definedName>
    <definedName name="_3.__Supplemental_Academic_Instruction" localSheetId="32">'3924'!#REF!</definedName>
    <definedName name="_3.__Supplemental_Academic_Instruction" localSheetId="33">'3941'!#REF!</definedName>
    <definedName name="_3.__Supplemental_Academic_Instruction" localSheetId="34">'3961'!#REF!</definedName>
    <definedName name="_3.__Supplemental_Academic_Instruction" localSheetId="35">'3971'!#REF!</definedName>
    <definedName name="_3.__Supplemental_Academic_Instruction" localSheetId="36">'4001'!#REF!</definedName>
    <definedName name="_3.__Supplemental_Academic_Instruction" localSheetId="37">'4002'!#REF!</definedName>
    <definedName name="_3.__Supplemental_Academic_Instruction" localSheetId="38">'4012'!#REF!</definedName>
    <definedName name="_3.__Supplemental_Academic_Instruction" localSheetId="39">'4013'!#REF!</definedName>
    <definedName name="_3.__Supplemental_Academic_Instruction" localSheetId="40">'4020'!#REF!</definedName>
    <definedName name="_3.__Supplemental_Academic_Instruction" localSheetId="41">'4030'!#REF!</definedName>
    <definedName name="_3.__Supplemental_Academic_Instruction" localSheetId="42">'4031'!#REF!</definedName>
    <definedName name="_3.__Supplemental_Academic_Instruction" localSheetId="43">'4041'!#REF!</definedName>
    <definedName name="_3.__Supplemental_Academic_Instruction" localSheetId="44">'4050'!#REF!</definedName>
    <definedName name="_3.__Supplemental_Academic_Instruction" localSheetId="45">'4051'!#REF!</definedName>
    <definedName name="_3.__Supplemental_Academic_Instruction" localSheetId="46">'4061'!#REF!</definedName>
    <definedName name="_3.__Supplemental_Academic_Instruction" localSheetId="47">'4080'!#REF!</definedName>
    <definedName name="_3.__Supplemental_Academic_Instruction" localSheetId="48">'4081'!#REF!</definedName>
    <definedName name="_3.__Supplemental_Academic_Instruction" localSheetId="49">'4090'!#REF!</definedName>
    <definedName name="_3.__Supplemental_Academic_Instruction" localSheetId="50">'4091'!#REF!</definedName>
    <definedName name="_3.__Supplemental_Academic_Instruction" localSheetId="51">'4100'!#REF!</definedName>
    <definedName name="_3.__Supplemental_Academic_Instruction" localSheetId="52">'4102'!#REF!</definedName>
    <definedName name="_3.__Supplemental_Academic_Instruction" localSheetId="53">'4103'!#REF!</definedName>
    <definedName name="_3.__Supplemental_Academic_Instruction" localSheetId="54">'4111'!#REF!</definedName>
    <definedName name="_3.__Supplemental_Academic_Instruction" localSheetId="55">'4131'!#REF!</definedName>
    <definedName name="_3.__Supplemental_Academic_Instruction">'0040'!#REF!</definedName>
    <definedName name="_300_Career_Education__Grades_9_12" localSheetId="7">'0100'!$A$27</definedName>
    <definedName name="_300_Career_Education__Grades_9_12" localSheetId="6">'0571'!$A$27</definedName>
    <definedName name="_300_Career_Education__Grades_9_12" localSheetId="8">'1461'!$A$27</definedName>
    <definedName name="_300_Career_Education__Grades_9_12" localSheetId="9">'1571'!$A$27</definedName>
    <definedName name="_300_Career_Education__Grades_9_12" localSheetId="10">'2521'!$A$27</definedName>
    <definedName name="_300_Career_Education__Grades_9_12" localSheetId="11">'2531'!$A$27</definedName>
    <definedName name="_300_Career_Education__Grades_9_12" localSheetId="12">'2791'!$A$27</definedName>
    <definedName name="_300_Career_Education__Grades_9_12" localSheetId="13">'2801'!$A$27</definedName>
    <definedName name="_300_Career_Education__Grades_9_12" localSheetId="14">'2911'!$A$27</definedName>
    <definedName name="_300_Career_Education__Grades_9_12" localSheetId="15">'2941'!$A$27</definedName>
    <definedName name="_300_Career_Education__Grades_9_12" localSheetId="16">'3083'!$A$27</definedName>
    <definedName name="_300_Career_Education__Grades_9_12" localSheetId="17">'3345'!$A$27</definedName>
    <definedName name="_300_Career_Education__Grades_9_12" localSheetId="18">'3362'!$A$27</definedName>
    <definedName name="_300_Career_Education__Grades_9_12" localSheetId="19">'3381'!$A$27</definedName>
    <definedName name="_300_Career_Education__Grades_9_12" localSheetId="20">'3382'!$A$27</definedName>
    <definedName name="_300_Career_Education__Grades_9_12" localSheetId="21">'3391'!$A$27</definedName>
    <definedName name="_300_Career_Education__Grades_9_12" localSheetId="22">'3394'!$A$27</definedName>
    <definedName name="_300_Career_Education__Grades_9_12" localSheetId="23">'3395'!$A$27</definedName>
    <definedName name="_300_Career_Education__Grades_9_12" localSheetId="24">'3396'!$A$27</definedName>
    <definedName name="_300_Career_Education__Grades_9_12" localSheetId="25">'3398'!$A$27</definedName>
    <definedName name="_300_Career_Education__Grades_9_12" localSheetId="26">'3400'!$A$27</definedName>
    <definedName name="_300_Career_Education__Grades_9_12" localSheetId="27">'3401'!$A$27</definedName>
    <definedName name="_300_Career_Education__Grades_9_12" localSheetId="28">'3413'!$A$27</definedName>
    <definedName name="_300_Career_Education__Grades_9_12" localSheetId="29">'3421'!$A$27</definedName>
    <definedName name="_300_Career_Education__Grades_9_12" localSheetId="30">'3431'!$A$27</definedName>
    <definedName name="_300_Career_Education__Grades_9_12" localSheetId="31">'3441'!$A$27</definedName>
    <definedName name="_300_Career_Education__Grades_9_12" localSheetId="32">'3924'!$A$27</definedName>
    <definedName name="_300_Career_Education__Grades_9_12" localSheetId="33">'3941'!$A$27</definedName>
    <definedName name="_300_Career_Education__Grades_9_12" localSheetId="34">'3961'!$A$27</definedName>
    <definedName name="_300_Career_Education__Grades_9_12" localSheetId="35">'3971'!$A$27</definedName>
    <definedName name="_300_Career_Education__Grades_9_12" localSheetId="36">'4001'!$A$27</definedName>
    <definedName name="_300_Career_Education__Grades_9_12" localSheetId="37">'4002'!$A$27</definedName>
    <definedName name="_300_Career_Education__Grades_9_12" localSheetId="38">'4012'!$A$27</definedName>
    <definedName name="_300_Career_Education__Grades_9_12" localSheetId="39">'4013'!$A$27</definedName>
    <definedName name="_300_Career_Education__Grades_9_12" localSheetId="40">'4020'!$A$27</definedName>
    <definedName name="_300_Career_Education__Grades_9_12" localSheetId="41">'4030'!$A$27</definedName>
    <definedName name="_300_Career_Education__Grades_9_12" localSheetId="42">'4031'!$A$27</definedName>
    <definedName name="_300_Career_Education__Grades_9_12" localSheetId="43">'4041'!$A$27</definedName>
    <definedName name="_300_Career_Education__Grades_9_12" localSheetId="44">'4050'!$A$27</definedName>
    <definedName name="_300_Career_Education__Grades_9_12" localSheetId="45">'4051'!$A$27</definedName>
    <definedName name="_300_Career_Education__Grades_9_12" localSheetId="46">'4061'!$A$27</definedName>
    <definedName name="_300_Career_Education__Grades_9_12" localSheetId="47">'4080'!$A$27</definedName>
    <definedName name="_300_Career_Education__Grades_9_12" localSheetId="48">'4081'!$A$27</definedName>
    <definedName name="_300_Career_Education__Grades_9_12" localSheetId="49">'4090'!$A$27</definedName>
    <definedName name="_300_Career_Education__Grades_9_12" localSheetId="50">'4091'!$A$27</definedName>
    <definedName name="_300_Career_Education__Grades_9_12" localSheetId="51">'4100'!$A$27</definedName>
    <definedName name="_300_Career_Education__Grades_9_12" localSheetId="52">'4102'!$A$27</definedName>
    <definedName name="_300_Career_Education__Grades_9_12" localSheetId="53">'4103'!$A$27</definedName>
    <definedName name="_300_Career_Education__Grades_9_12" localSheetId="54">'4111'!$A$27</definedName>
    <definedName name="_300_Career_Education__Grades_9_12" localSheetId="55">'4131'!$A$27</definedName>
    <definedName name="_300_Career_Education__Grades_9_12">'0040'!$A$27</definedName>
    <definedName name="_4_8" localSheetId="7">'0100'!$A$91</definedName>
    <definedName name="_4_8" localSheetId="6">'0571'!$A$91</definedName>
    <definedName name="_4_8" localSheetId="8">'1461'!$A$91</definedName>
    <definedName name="_4_8" localSheetId="9">'1571'!$A$91</definedName>
    <definedName name="_4_8" localSheetId="10">'2521'!$A$91</definedName>
    <definedName name="_4_8" localSheetId="11">'2531'!$A$91</definedName>
    <definedName name="_4_8" localSheetId="12">'2791'!$A$91</definedName>
    <definedName name="_4_8" localSheetId="13">'2801'!$A$91</definedName>
    <definedName name="_4_8" localSheetId="14">'2911'!$A$91</definedName>
    <definedName name="_4_8" localSheetId="15">'2941'!$A$91</definedName>
    <definedName name="_4_8" localSheetId="16">'3083'!$A$91</definedName>
    <definedName name="_4_8" localSheetId="17">'3345'!$A$91</definedName>
    <definedName name="_4_8" localSheetId="18">'3362'!$A$91</definedName>
    <definedName name="_4_8" localSheetId="19">'3381'!$A$91</definedName>
    <definedName name="_4_8" localSheetId="20">'3382'!$A$91</definedName>
    <definedName name="_4_8" localSheetId="21">'3391'!$A$91</definedName>
    <definedName name="_4_8" localSheetId="22">'3394'!$A$91</definedName>
    <definedName name="_4_8" localSheetId="23">'3395'!$A$91</definedName>
    <definedName name="_4_8" localSheetId="24">'3396'!$A$91</definedName>
    <definedName name="_4_8" localSheetId="25">'3398'!$A$91</definedName>
    <definedName name="_4_8" localSheetId="26">'3400'!$A$91</definedName>
    <definedName name="_4_8" localSheetId="27">'3401'!$A$91</definedName>
    <definedName name="_4_8" localSheetId="28">'3413'!$A$91</definedName>
    <definedName name="_4_8" localSheetId="29">'3421'!$A$91</definedName>
    <definedName name="_4_8" localSheetId="30">'3431'!$A$91</definedName>
    <definedName name="_4_8" localSheetId="31">'3441'!$A$91</definedName>
    <definedName name="_4_8" localSheetId="32">'3924'!$A$91</definedName>
    <definedName name="_4_8" localSheetId="33">'3941'!$A$91</definedName>
    <definedName name="_4_8" localSheetId="34">'3961'!$A$91</definedName>
    <definedName name="_4_8" localSheetId="35">'3971'!$A$91</definedName>
    <definedName name="_4_8" localSheetId="36">'4001'!$A$91</definedName>
    <definedName name="_4_8" localSheetId="37">'4002'!$A$91</definedName>
    <definedName name="_4_8" localSheetId="38">'4012'!$A$91</definedName>
    <definedName name="_4_8" localSheetId="39">'4013'!$A$91</definedName>
    <definedName name="_4_8" localSheetId="40">'4020'!$A$91</definedName>
    <definedName name="_4_8" localSheetId="41">'4030'!$A$91</definedName>
    <definedName name="_4_8" localSheetId="42">'4031'!$A$91</definedName>
    <definedName name="_4_8" localSheetId="43">'4041'!$A$91</definedName>
    <definedName name="_4_8" localSheetId="44">'4050'!$A$91</definedName>
    <definedName name="_4_8" localSheetId="45">'4051'!$A$91</definedName>
    <definedName name="_4_8" localSheetId="46">'4061'!$A$91</definedName>
    <definedName name="_4_8" localSheetId="47">'4080'!$A$91</definedName>
    <definedName name="_4_8" localSheetId="48">'4081'!$A$91</definedName>
    <definedName name="_4_8" localSheetId="49">'4090'!$A$91</definedName>
    <definedName name="_4_8" localSheetId="50">'4091'!$A$91</definedName>
    <definedName name="_4_8" localSheetId="51">'4100'!$A$91</definedName>
    <definedName name="_4_8" localSheetId="52">'4102'!$A$91</definedName>
    <definedName name="_4_8" localSheetId="53">'4103'!$A$91</definedName>
    <definedName name="_4_8" localSheetId="54">'4111'!$A$91</definedName>
    <definedName name="_4_8" localSheetId="55">'4131'!$A$91</definedName>
    <definedName name="_4_8">'0040'!$A$91</definedName>
    <definedName name="_9_12" localSheetId="7">'0100'!$A$92</definedName>
    <definedName name="_9_12" localSheetId="6">'0571'!$A$92</definedName>
    <definedName name="_9_12" localSheetId="8">'1461'!$A$92</definedName>
    <definedName name="_9_12" localSheetId="9">'1571'!$A$92</definedName>
    <definedName name="_9_12" localSheetId="10">'2521'!$A$92</definedName>
    <definedName name="_9_12" localSheetId="11">'2531'!$A$92</definedName>
    <definedName name="_9_12" localSheetId="12">'2791'!$A$92</definedName>
    <definedName name="_9_12" localSheetId="13">'2801'!$A$92</definedName>
    <definedName name="_9_12" localSheetId="14">'2911'!$A$92</definedName>
    <definedName name="_9_12" localSheetId="15">'2941'!$A$92</definedName>
    <definedName name="_9_12" localSheetId="16">'3083'!$A$92</definedName>
    <definedName name="_9_12" localSheetId="17">'3345'!$A$92</definedName>
    <definedName name="_9_12" localSheetId="18">'3362'!$A$92</definedName>
    <definedName name="_9_12" localSheetId="19">'3381'!$A$92</definedName>
    <definedName name="_9_12" localSheetId="20">'3382'!$A$92</definedName>
    <definedName name="_9_12" localSheetId="21">'3391'!$A$92</definedName>
    <definedName name="_9_12" localSheetId="22">'3394'!$A$92</definedName>
    <definedName name="_9_12" localSheetId="23">'3395'!$A$92</definedName>
    <definedName name="_9_12" localSheetId="24">'3396'!$A$92</definedName>
    <definedName name="_9_12" localSheetId="25">'3398'!$A$92</definedName>
    <definedName name="_9_12" localSheetId="26">'3400'!$A$92</definedName>
    <definedName name="_9_12" localSheetId="27">'3401'!$A$92</definedName>
    <definedName name="_9_12" localSheetId="28">'3413'!$A$92</definedName>
    <definedName name="_9_12" localSheetId="29">'3421'!$A$92</definedName>
    <definedName name="_9_12" localSheetId="30">'3431'!$A$92</definedName>
    <definedName name="_9_12" localSheetId="31">'3441'!$A$92</definedName>
    <definedName name="_9_12" localSheetId="32">'3924'!$A$92</definedName>
    <definedName name="_9_12" localSheetId="33">'3941'!$A$92</definedName>
    <definedName name="_9_12" localSheetId="34">'3961'!$A$92</definedName>
    <definedName name="_9_12" localSheetId="35">'3971'!$A$92</definedName>
    <definedName name="_9_12" localSheetId="36">'4001'!$A$92</definedName>
    <definedName name="_9_12" localSheetId="37">'4002'!$A$92</definedName>
    <definedName name="_9_12" localSheetId="38">'4012'!$A$92</definedName>
    <definedName name="_9_12" localSheetId="39">'4013'!$A$92</definedName>
    <definedName name="_9_12" localSheetId="40">'4020'!$A$92</definedName>
    <definedName name="_9_12" localSheetId="41">'4030'!$A$92</definedName>
    <definedName name="_9_12" localSheetId="42">'4031'!$A$92</definedName>
    <definedName name="_9_12" localSheetId="43">'4041'!$A$92</definedName>
    <definedName name="_9_12" localSheetId="44">'4050'!$A$92</definedName>
    <definedName name="_9_12" localSheetId="45">'4051'!$A$92</definedName>
    <definedName name="_9_12" localSheetId="46">'4061'!$A$92</definedName>
    <definedName name="_9_12" localSheetId="47">'4080'!$A$92</definedName>
    <definedName name="_9_12" localSheetId="48">'4081'!$A$92</definedName>
    <definedName name="_9_12" localSheetId="49">'4090'!$A$92</definedName>
    <definedName name="_9_12" localSheetId="50">'4091'!$A$92</definedName>
    <definedName name="_9_12" localSheetId="51">'4100'!$A$92</definedName>
    <definedName name="_9_12" localSheetId="52">'4102'!$A$92</definedName>
    <definedName name="_9_12" localSheetId="53">'4103'!$A$92</definedName>
    <definedName name="_9_12" localSheetId="54">'4111'!$A$92</definedName>
    <definedName name="_9_12" localSheetId="55">'4131'!$A$92</definedName>
    <definedName name="_9_12">'0040'!$A$92</definedName>
    <definedName name="_Add_On_FTE" localSheetId="7">'0100'!#REF!</definedName>
    <definedName name="_Add_On_FTE" localSheetId="6">'0571'!#REF!</definedName>
    <definedName name="_Add_On_FTE" localSheetId="8">'1461'!#REF!</definedName>
    <definedName name="_Add_On_FTE" localSheetId="9">'1571'!#REF!</definedName>
    <definedName name="_Add_On_FTE" localSheetId="10">'2521'!#REF!</definedName>
    <definedName name="_Add_On_FTE" localSheetId="11">'2531'!#REF!</definedName>
    <definedName name="_Add_On_FTE" localSheetId="12">'2791'!#REF!</definedName>
    <definedName name="_Add_On_FTE" localSheetId="13">'2801'!#REF!</definedName>
    <definedName name="_Add_On_FTE" localSheetId="14">'2911'!#REF!</definedName>
    <definedName name="_Add_On_FTE" localSheetId="15">'2941'!#REF!</definedName>
    <definedName name="_Add_On_FTE" localSheetId="16">'3083'!#REF!</definedName>
    <definedName name="_Add_On_FTE" localSheetId="17">'3345'!#REF!</definedName>
    <definedName name="_Add_On_FTE" localSheetId="18">'3362'!#REF!</definedName>
    <definedName name="_Add_On_FTE" localSheetId="19">'3381'!#REF!</definedName>
    <definedName name="_Add_On_FTE" localSheetId="20">'3382'!#REF!</definedName>
    <definedName name="_Add_On_FTE" localSheetId="21">'3391'!#REF!</definedName>
    <definedName name="_Add_On_FTE" localSheetId="22">'3394'!#REF!</definedName>
    <definedName name="_Add_On_FTE" localSheetId="23">'3395'!#REF!</definedName>
    <definedName name="_Add_On_FTE" localSheetId="24">'3396'!#REF!</definedName>
    <definedName name="_Add_On_FTE" localSheetId="25">'3398'!#REF!</definedName>
    <definedName name="_Add_On_FTE" localSheetId="26">'3400'!#REF!</definedName>
    <definedName name="_Add_On_FTE" localSheetId="27">'3401'!#REF!</definedName>
    <definedName name="_Add_On_FTE" localSheetId="28">'3413'!#REF!</definedName>
    <definedName name="_Add_On_FTE" localSheetId="29">'3421'!#REF!</definedName>
    <definedName name="_Add_On_FTE" localSheetId="30">'3431'!#REF!</definedName>
    <definedName name="_Add_On_FTE" localSheetId="31">'3441'!#REF!</definedName>
    <definedName name="_Add_On_FTE" localSheetId="32">'3924'!#REF!</definedName>
    <definedName name="_Add_On_FTE" localSheetId="33">'3941'!#REF!</definedName>
    <definedName name="_Add_On_FTE" localSheetId="34">'3961'!#REF!</definedName>
    <definedName name="_Add_On_FTE" localSheetId="35">'3971'!#REF!</definedName>
    <definedName name="_Add_On_FTE" localSheetId="36">'4001'!#REF!</definedName>
    <definedName name="_Add_On_FTE" localSheetId="37">'4002'!#REF!</definedName>
    <definedName name="_Add_On_FTE" localSheetId="38">'4012'!#REF!</definedName>
    <definedName name="_Add_On_FTE" localSheetId="39">'4013'!#REF!</definedName>
    <definedName name="_Add_On_FTE" localSheetId="40">'4020'!#REF!</definedName>
    <definedName name="_Add_On_FTE" localSheetId="41">'4030'!#REF!</definedName>
    <definedName name="_Add_On_FTE" localSheetId="42">'4031'!#REF!</definedName>
    <definedName name="_Add_On_FTE" localSheetId="43">'4041'!#REF!</definedName>
    <definedName name="_Add_On_FTE" localSheetId="44">'4050'!#REF!</definedName>
    <definedName name="_Add_On_FTE" localSheetId="45">'4051'!#REF!</definedName>
    <definedName name="_Add_On_FTE" localSheetId="46">'4061'!#REF!</definedName>
    <definedName name="_Add_On_FTE" localSheetId="47">'4080'!#REF!</definedName>
    <definedName name="_Add_On_FTE" localSheetId="48">'4081'!#REF!</definedName>
    <definedName name="_Add_On_FTE" localSheetId="49">'4090'!#REF!</definedName>
    <definedName name="_Add_On_FTE" localSheetId="50">'4091'!#REF!</definedName>
    <definedName name="_Add_On_FTE" localSheetId="51">'4100'!#REF!</definedName>
    <definedName name="_Add_On_FTE" localSheetId="52">'4102'!#REF!</definedName>
    <definedName name="_Add_On_FTE" localSheetId="53">'4103'!#REF!</definedName>
    <definedName name="_Add_On_FTE" localSheetId="54">'4111'!#REF!</definedName>
    <definedName name="_Add_On_FTE" localSheetId="55">'4131'!#REF!</definedName>
    <definedName name="_Add_On_FTE">'0040'!#REF!</definedName>
    <definedName name="_xlnm._FilterDatabase" localSheetId="1" hidden="1">'Annual Rev &amp; Fees'!$A$5:$W$55</definedName>
    <definedName name="_xlnm._FilterDatabase" localSheetId="0" hidden="1">'Net Payment'!$A$4:$G$468</definedName>
    <definedName name="_grp1">#REF!</definedName>
    <definedName name="Actual_Additional_.25_Discretionary_Revenue">'[1]Detail 2025-26 FEFP Second'!#REF!</definedName>
    <definedName name="Add_On_FTE" localSheetId="7">'0100'!#REF!</definedName>
    <definedName name="Add_On_FTE" localSheetId="6">'0571'!#REF!</definedName>
    <definedName name="Add_On_FTE" localSheetId="8">'1461'!#REF!</definedName>
    <definedName name="Add_On_FTE" localSheetId="9">'1571'!#REF!</definedName>
    <definedName name="Add_On_FTE" localSheetId="10">'2521'!#REF!</definedName>
    <definedName name="Add_On_FTE" localSheetId="11">'2531'!#REF!</definedName>
    <definedName name="Add_On_FTE" localSheetId="12">'2791'!#REF!</definedName>
    <definedName name="Add_On_FTE" localSheetId="13">'2801'!#REF!</definedName>
    <definedName name="Add_On_FTE" localSheetId="14">'2911'!#REF!</definedName>
    <definedName name="Add_On_FTE" localSheetId="15">'2941'!#REF!</definedName>
    <definedName name="Add_On_FTE" localSheetId="16">'3083'!#REF!</definedName>
    <definedName name="Add_On_FTE" localSheetId="17">'3345'!#REF!</definedName>
    <definedName name="Add_On_FTE" localSheetId="18">'3362'!#REF!</definedName>
    <definedName name="Add_On_FTE" localSheetId="19">'3381'!#REF!</definedName>
    <definedName name="Add_On_FTE" localSheetId="20">'3382'!#REF!</definedName>
    <definedName name="Add_On_FTE" localSheetId="21">'3391'!#REF!</definedName>
    <definedName name="Add_On_FTE" localSheetId="22">'3394'!#REF!</definedName>
    <definedName name="Add_On_FTE" localSheetId="23">'3395'!#REF!</definedName>
    <definedName name="Add_On_FTE" localSheetId="24">'3396'!#REF!</definedName>
    <definedName name="Add_On_FTE" localSheetId="25">'3398'!#REF!</definedName>
    <definedName name="Add_On_FTE" localSheetId="26">'3400'!#REF!</definedName>
    <definedName name="Add_On_FTE" localSheetId="27">'3401'!#REF!</definedName>
    <definedName name="Add_On_FTE" localSheetId="28">'3413'!#REF!</definedName>
    <definedName name="Add_On_FTE" localSheetId="29">'3421'!#REF!</definedName>
    <definedName name="Add_On_FTE" localSheetId="30">'3431'!#REF!</definedName>
    <definedName name="Add_On_FTE" localSheetId="31">'3441'!#REF!</definedName>
    <definedName name="Add_On_FTE" localSheetId="32">'3924'!#REF!</definedName>
    <definedName name="Add_On_FTE" localSheetId="33">'3941'!#REF!</definedName>
    <definedName name="Add_On_FTE" localSheetId="34">'3961'!#REF!</definedName>
    <definedName name="Add_On_FTE" localSheetId="35">'3971'!#REF!</definedName>
    <definedName name="Add_On_FTE" localSheetId="36">'4001'!#REF!</definedName>
    <definedName name="Add_On_FTE" localSheetId="37">'4002'!#REF!</definedName>
    <definedName name="Add_On_FTE" localSheetId="38">'4012'!#REF!</definedName>
    <definedName name="Add_On_FTE" localSheetId="39">'4013'!#REF!</definedName>
    <definedName name="Add_On_FTE" localSheetId="40">'4020'!#REF!</definedName>
    <definedName name="Add_On_FTE" localSheetId="41">'4030'!#REF!</definedName>
    <definedName name="Add_On_FTE" localSheetId="42">'4031'!#REF!</definedName>
    <definedName name="Add_On_FTE" localSheetId="43">'4041'!#REF!</definedName>
    <definedName name="Add_On_FTE" localSheetId="44">'4050'!#REF!</definedName>
    <definedName name="Add_On_FTE" localSheetId="45">'4051'!#REF!</definedName>
    <definedName name="Add_On_FTE" localSheetId="46">'4061'!#REF!</definedName>
    <definedName name="Add_On_FTE" localSheetId="47">'4080'!#REF!</definedName>
    <definedName name="Add_On_FTE" localSheetId="48">'4081'!#REF!</definedName>
    <definedName name="Add_On_FTE" localSheetId="49">'4090'!#REF!</definedName>
    <definedName name="Add_On_FTE" localSheetId="50">'4091'!#REF!</definedName>
    <definedName name="Add_On_FTE" localSheetId="51">'4100'!#REF!</definedName>
    <definedName name="Add_On_FTE" localSheetId="52">'4102'!#REF!</definedName>
    <definedName name="Add_On_FTE" localSheetId="53">'4103'!#REF!</definedName>
    <definedName name="Add_On_FTE" localSheetId="54">'4111'!#REF!</definedName>
    <definedName name="Add_On_FTE" localSheetId="55">'4131'!#REF!</definedName>
    <definedName name="Add_On_FTE">'0040'!#REF!</definedName>
    <definedName name="Alachua">#REF!</definedName>
    <definedName name="Allocation_factors" localSheetId="7">'0100'!$G$89</definedName>
    <definedName name="Allocation_factors" localSheetId="6">'0571'!$G$89</definedName>
    <definedName name="Allocation_factors" localSheetId="8">'1461'!$G$89</definedName>
    <definedName name="Allocation_factors" localSheetId="9">'1571'!$G$89</definedName>
    <definedName name="Allocation_factors" localSheetId="10">'2521'!$G$89</definedName>
    <definedName name="Allocation_factors" localSheetId="11">'2531'!$G$89</definedName>
    <definedName name="Allocation_factors" localSheetId="12">'2791'!$G$89</definedName>
    <definedName name="Allocation_factors" localSheetId="13">'2801'!$G$89</definedName>
    <definedName name="Allocation_factors" localSheetId="14">'2911'!$G$89</definedName>
    <definedName name="Allocation_factors" localSheetId="15">'2941'!$G$89</definedName>
    <definedName name="Allocation_factors" localSheetId="16">'3083'!$G$89</definedName>
    <definedName name="Allocation_factors" localSheetId="17">'3345'!$G$89</definedName>
    <definedName name="Allocation_factors" localSheetId="18">'3362'!$G$89</definedName>
    <definedName name="Allocation_factors" localSheetId="19">'3381'!$G$89</definedName>
    <definedName name="Allocation_factors" localSheetId="20">'3382'!$G$89</definedName>
    <definedName name="Allocation_factors" localSheetId="21">'3391'!$G$89</definedName>
    <definedName name="Allocation_factors" localSheetId="22">'3394'!$G$89</definedName>
    <definedName name="Allocation_factors" localSheetId="23">'3395'!$G$89</definedName>
    <definedName name="Allocation_factors" localSheetId="24">'3396'!$G$89</definedName>
    <definedName name="Allocation_factors" localSheetId="25">'3398'!$G$89</definedName>
    <definedName name="Allocation_factors" localSheetId="26">'3400'!$G$89</definedName>
    <definedName name="Allocation_factors" localSheetId="27">'3401'!$G$89</definedName>
    <definedName name="Allocation_factors" localSheetId="28">'3413'!$G$89</definedName>
    <definedName name="Allocation_factors" localSheetId="29">'3421'!$G$89</definedName>
    <definedName name="Allocation_factors" localSheetId="30">'3431'!$G$89</definedName>
    <definedName name="Allocation_factors" localSheetId="31">'3441'!$G$89</definedName>
    <definedName name="Allocation_factors" localSheetId="32">'3924'!$G$89</definedName>
    <definedName name="Allocation_factors" localSheetId="33">'3941'!$G$89</definedName>
    <definedName name="Allocation_factors" localSheetId="34">'3961'!$G$89</definedName>
    <definedName name="Allocation_factors" localSheetId="35">'3971'!$G$89</definedName>
    <definedName name="Allocation_factors" localSheetId="36">'4001'!$G$89</definedName>
    <definedName name="Allocation_factors" localSheetId="37">'4002'!$G$89</definedName>
    <definedName name="Allocation_factors" localSheetId="38">'4012'!$G$89</definedName>
    <definedName name="Allocation_factors" localSheetId="39">'4013'!$G$89</definedName>
    <definedName name="Allocation_factors" localSheetId="40">'4020'!$G$89</definedName>
    <definedName name="Allocation_factors" localSheetId="41">'4030'!$G$89</definedName>
    <definedName name="Allocation_factors" localSheetId="42">'4031'!$G$89</definedName>
    <definedName name="Allocation_factors" localSheetId="43">'4041'!$G$89</definedName>
    <definedName name="Allocation_factors" localSheetId="44">'4050'!$G$89</definedName>
    <definedName name="Allocation_factors" localSheetId="45">'4051'!$G$89</definedName>
    <definedName name="Allocation_factors" localSheetId="46">'4061'!$G$89</definedName>
    <definedName name="Allocation_factors" localSheetId="47">'4080'!$G$89</definedName>
    <definedName name="Allocation_factors" localSheetId="48">'4081'!$G$89</definedName>
    <definedName name="Allocation_factors" localSheetId="49">'4090'!$G$89</definedName>
    <definedName name="Allocation_factors" localSheetId="50">'4091'!$G$89</definedName>
    <definedName name="Allocation_factors" localSheetId="51">'4100'!$G$89</definedName>
    <definedName name="Allocation_factors" localSheetId="52">'4102'!$G$89</definedName>
    <definedName name="Allocation_factors" localSheetId="53">'4103'!$G$89</definedName>
    <definedName name="Allocation_factors" localSheetId="54">'4111'!$G$89</definedName>
    <definedName name="Allocation_factors" localSheetId="55">'4131'!$G$89</definedName>
    <definedName name="Allocation_factors">'0040'!$G$89</definedName>
    <definedName name="ARRA_State_Fiscal_Stabilization">'[1]Detail 2025-26 FEFP Second'!#REF!</definedName>
    <definedName name="Baker">#REF!</definedName>
    <definedName name="Base_Student_Allocation" localSheetId="7">'0100'!$A$6</definedName>
    <definedName name="Base_Student_Allocation" localSheetId="6">'0571'!$A$6</definedName>
    <definedName name="Base_Student_Allocation" localSheetId="8">'1461'!$A$6</definedName>
    <definedName name="Base_Student_Allocation" localSheetId="9">'1571'!$A$6</definedName>
    <definedName name="Base_Student_Allocation" localSheetId="10">'2521'!$A$6</definedName>
    <definedName name="Base_Student_Allocation" localSheetId="11">'2531'!$A$6</definedName>
    <definedName name="Base_Student_Allocation" localSheetId="12">'2791'!$A$6</definedName>
    <definedName name="Base_Student_Allocation" localSheetId="13">'2801'!$A$6</definedName>
    <definedName name="Base_Student_Allocation" localSheetId="14">'2911'!$A$6</definedName>
    <definedName name="Base_Student_Allocation" localSheetId="15">'2941'!$A$6</definedName>
    <definedName name="Base_Student_Allocation" localSheetId="16">'3083'!$A$6</definedName>
    <definedName name="Base_Student_Allocation" localSheetId="17">'3345'!$A$6</definedName>
    <definedName name="Base_Student_Allocation" localSheetId="18">'3362'!$A$6</definedName>
    <definedName name="Base_Student_Allocation" localSheetId="19">'3381'!$A$6</definedName>
    <definedName name="Base_Student_Allocation" localSheetId="20">'3382'!$A$6</definedName>
    <definedName name="Base_Student_Allocation" localSheetId="21">'3391'!$A$6</definedName>
    <definedName name="Base_Student_Allocation" localSheetId="22">'3394'!$A$6</definedName>
    <definedName name="Base_Student_Allocation" localSheetId="23">'3395'!$A$6</definedName>
    <definedName name="Base_Student_Allocation" localSheetId="24">'3396'!$A$6</definedName>
    <definedName name="Base_Student_Allocation" localSheetId="25">'3398'!$A$6</definedName>
    <definedName name="Base_Student_Allocation" localSheetId="26">'3400'!$A$6</definedName>
    <definedName name="Base_Student_Allocation" localSheetId="27">'3401'!$A$6</definedName>
    <definedName name="Base_Student_Allocation" localSheetId="28">'3413'!$A$6</definedName>
    <definedName name="Base_Student_Allocation" localSheetId="29">'3421'!$A$6</definedName>
    <definedName name="Base_Student_Allocation" localSheetId="30">'3431'!$A$6</definedName>
    <definedName name="Base_Student_Allocation" localSheetId="31">'3441'!$A$6</definedName>
    <definedName name="Base_Student_Allocation" localSheetId="32">'3924'!$A$6</definedName>
    <definedName name="Base_Student_Allocation" localSheetId="33">'3941'!$A$6</definedName>
    <definedName name="Base_Student_Allocation" localSheetId="34">'3961'!$A$6</definedName>
    <definedName name="Base_Student_Allocation" localSheetId="35">'3971'!$A$6</definedName>
    <definedName name="Base_Student_Allocation" localSheetId="36">'4001'!$A$6</definedName>
    <definedName name="Base_Student_Allocation" localSheetId="37">'4002'!$A$6</definedName>
    <definedName name="Base_Student_Allocation" localSheetId="38">'4012'!$A$6</definedName>
    <definedName name="Base_Student_Allocation" localSheetId="39">'4013'!$A$6</definedName>
    <definedName name="Base_Student_Allocation" localSheetId="40">'4020'!$A$6</definedName>
    <definedName name="Base_Student_Allocation" localSheetId="41">'4030'!$A$6</definedName>
    <definedName name="Base_Student_Allocation" localSheetId="42">'4031'!$A$6</definedName>
    <definedName name="Base_Student_Allocation" localSheetId="43">'4041'!$A$6</definedName>
    <definedName name="Base_Student_Allocation" localSheetId="44">'4050'!$A$6</definedName>
    <definedName name="Base_Student_Allocation" localSheetId="45">'4051'!$A$6</definedName>
    <definedName name="Base_Student_Allocation" localSheetId="46">'4061'!$A$6</definedName>
    <definedName name="Base_Student_Allocation" localSheetId="47">'4080'!$A$6</definedName>
    <definedName name="Base_Student_Allocation" localSheetId="48">'4081'!$A$6</definedName>
    <definedName name="Base_Student_Allocation" localSheetId="49">'4090'!$A$6</definedName>
    <definedName name="Base_Student_Allocation" localSheetId="50">'4091'!$A$6</definedName>
    <definedName name="Base_Student_Allocation" localSheetId="51">'4100'!$A$6</definedName>
    <definedName name="Base_Student_Allocation" localSheetId="52">'4102'!$A$6</definedName>
    <definedName name="Base_Student_Allocation" localSheetId="53">'4103'!$A$6</definedName>
    <definedName name="Base_Student_Allocation" localSheetId="54">'4111'!$A$6</definedName>
    <definedName name="Base_Student_Allocation" localSheetId="55">'4131'!$A$6</definedName>
    <definedName name="Base_Student_Allocation">'0040'!$A$6</definedName>
    <definedName name="Based_on_the_Second_Calculation_of_the_FEFP_2010_11" localSheetId="7">'0100'!$A$3</definedName>
    <definedName name="Based_on_the_Second_Calculation_of_the_FEFP_2010_11" localSheetId="6">'0571'!$A$3</definedName>
    <definedName name="Based_on_the_Second_Calculation_of_the_FEFP_2010_11" localSheetId="8">'1461'!$A$3</definedName>
    <definedName name="Based_on_the_Second_Calculation_of_the_FEFP_2010_11" localSheetId="9">'1571'!$A$3</definedName>
    <definedName name="Based_on_the_Second_Calculation_of_the_FEFP_2010_11" localSheetId="10">'2521'!$A$3</definedName>
    <definedName name="Based_on_the_Second_Calculation_of_the_FEFP_2010_11" localSheetId="11">'2531'!$A$3</definedName>
    <definedName name="Based_on_the_Second_Calculation_of_the_FEFP_2010_11" localSheetId="12">'2791'!$A$3</definedName>
    <definedName name="Based_on_the_Second_Calculation_of_the_FEFP_2010_11" localSheetId="13">'2801'!$A$3</definedName>
    <definedName name="Based_on_the_Second_Calculation_of_the_FEFP_2010_11" localSheetId="14">'2911'!$A$3</definedName>
    <definedName name="Based_on_the_Second_Calculation_of_the_FEFP_2010_11" localSheetId="15">'2941'!$A$3</definedName>
    <definedName name="Based_on_the_Second_Calculation_of_the_FEFP_2010_11" localSheetId="16">'3083'!$A$3</definedName>
    <definedName name="Based_on_the_Second_Calculation_of_the_FEFP_2010_11" localSheetId="17">'3345'!$A$3</definedName>
    <definedName name="Based_on_the_Second_Calculation_of_the_FEFP_2010_11" localSheetId="18">'3362'!$A$3</definedName>
    <definedName name="Based_on_the_Second_Calculation_of_the_FEFP_2010_11" localSheetId="19">'3381'!$A$3</definedName>
    <definedName name="Based_on_the_Second_Calculation_of_the_FEFP_2010_11" localSheetId="20">'3382'!$A$3</definedName>
    <definedName name="Based_on_the_Second_Calculation_of_the_FEFP_2010_11" localSheetId="21">'3391'!$A$3</definedName>
    <definedName name="Based_on_the_Second_Calculation_of_the_FEFP_2010_11" localSheetId="22">'3394'!$A$3</definedName>
    <definedName name="Based_on_the_Second_Calculation_of_the_FEFP_2010_11" localSheetId="23">'3395'!$A$3</definedName>
    <definedName name="Based_on_the_Second_Calculation_of_the_FEFP_2010_11" localSheetId="24">'3396'!$A$3</definedName>
    <definedName name="Based_on_the_Second_Calculation_of_the_FEFP_2010_11" localSheetId="25">'3398'!$A$3</definedName>
    <definedName name="Based_on_the_Second_Calculation_of_the_FEFP_2010_11" localSheetId="26">'3400'!$A$3</definedName>
    <definedName name="Based_on_the_Second_Calculation_of_the_FEFP_2010_11" localSheetId="27">'3401'!$A$3</definedName>
    <definedName name="Based_on_the_Second_Calculation_of_the_FEFP_2010_11" localSheetId="28">'3413'!$A$3</definedName>
    <definedName name="Based_on_the_Second_Calculation_of_the_FEFP_2010_11" localSheetId="29">'3421'!$A$3</definedName>
    <definedName name="Based_on_the_Second_Calculation_of_the_FEFP_2010_11" localSheetId="30">'3431'!$A$3</definedName>
    <definedName name="Based_on_the_Second_Calculation_of_the_FEFP_2010_11" localSheetId="31">'3441'!$A$3</definedName>
    <definedName name="Based_on_the_Second_Calculation_of_the_FEFP_2010_11" localSheetId="32">'3924'!$A$3</definedName>
    <definedName name="Based_on_the_Second_Calculation_of_the_FEFP_2010_11" localSheetId="33">'3941'!$A$3</definedName>
    <definedName name="Based_on_the_Second_Calculation_of_the_FEFP_2010_11" localSheetId="34">'3961'!$A$3</definedName>
    <definedName name="Based_on_the_Second_Calculation_of_the_FEFP_2010_11" localSheetId="35">'3971'!$A$3</definedName>
    <definedName name="Based_on_the_Second_Calculation_of_the_FEFP_2010_11" localSheetId="36">'4001'!$A$3</definedName>
    <definedName name="Based_on_the_Second_Calculation_of_the_FEFP_2010_11" localSheetId="37">'4002'!$A$3</definedName>
    <definedName name="Based_on_the_Second_Calculation_of_the_FEFP_2010_11" localSheetId="38">'4012'!$A$3</definedName>
    <definedName name="Based_on_the_Second_Calculation_of_the_FEFP_2010_11" localSheetId="39">'4013'!$A$3</definedName>
    <definedName name="Based_on_the_Second_Calculation_of_the_FEFP_2010_11" localSheetId="40">'4020'!$A$3</definedName>
    <definedName name="Based_on_the_Second_Calculation_of_the_FEFP_2010_11" localSheetId="41">'4030'!$A$3</definedName>
    <definedName name="Based_on_the_Second_Calculation_of_the_FEFP_2010_11" localSheetId="42">'4031'!$A$3</definedName>
    <definedName name="Based_on_the_Second_Calculation_of_the_FEFP_2010_11" localSheetId="43">'4041'!$A$3</definedName>
    <definedName name="Based_on_the_Second_Calculation_of_the_FEFP_2010_11" localSheetId="44">'4050'!$A$3</definedName>
    <definedName name="Based_on_the_Second_Calculation_of_the_FEFP_2010_11" localSheetId="45">'4051'!$A$3</definedName>
    <definedName name="Based_on_the_Second_Calculation_of_the_FEFP_2010_11" localSheetId="46">'4061'!$A$3</definedName>
    <definedName name="Based_on_the_Second_Calculation_of_the_FEFP_2010_11" localSheetId="47">'4080'!$A$3</definedName>
    <definedName name="Based_on_the_Second_Calculation_of_the_FEFP_2010_11" localSheetId="48">'4081'!$A$3</definedName>
    <definedName name="Based_on_the_Second_Calculation_of_the_FEFP_2010_11" localSheetId="49">'4090'!$A$3</definedName>
    <definedName name="Based_on_the_Second_Calculation_of_the_FEFP_2010_11" localSheetId="50">'4091'!$A$3</definedName>
    <definedName name="Based_on_the_Second_Calculation_of_the_FEFP_2010_11" localSheetId="51">'4100'!$A$3</definedName>
    <definedName name="Based_on_the_Second_Calculation_of_the_FEFP_2010_11" localSheetId="52">'4102'!$A$3</definedName>
    <definedName name="Based_on_the_Second_Calculation_of_the_FEFP_2010_11" localSheetId="53">'4103'!$A$3</definedName>
    <definedName name="Based_on_the_Second_Calculation_of_the_FEFP_2010_11" localSheetId="54">'4111'!$A$3</definedName>
    <definedName name="Based_on_the_Second_Calculation_of_the_FEFP_2010_11" localSheetId="55">'4131'!$A$3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5"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7">'0100'!$D$89</definedName>
    <definedName name="DCD" localSheetId="6">'0571'!$D$89</definedName>
    <definedName name="DCD" localSheetId="8">'1461'!$D$89</definedName>
    <definedName name="DCD" localSheetId="9">'1571'!$D$89</definedName>
    <definedName name="DCD" localSheetId="10">'2521'!$D$89</definedName>
    <definedName name="DCD" localSheetId="11">'2531'!$D$89</definedName>
    <definedName name="DCD" localSheetId="12">'2791'!$D$89</definedName>
    <definedName name="DCD" localSheetId="13">'2801'!$D$89</definedName>
    <definedName name="DCD" localSheetId="14">'2911'!$D$89</definedName>
    <definedName name="DCD" localSheetId="15">'2941'!$D$89</definedName>
    <definedName name="DCD" localSheetId="16">'3083'!$D$89</definedName>
    <definedName name="DCD" localSheetId="17">'3345'!$D$89</definedName>
    <definedName name="DCD" localSheetId="18">'3362'!$D$89</definedName>
    <definedName name="DCD" localSheetId="19">'3381'!$D$89</definedName>
    <definedName name="DCD" localSheetId="20">'3382'!$D$89</definedName>
    <definedName name="DCD" localSheetId="21">'3391'!$D$89</definedName>
    <definedName name="DCD" localSheetId="22">'3394'!$D$89</definedName>
    <definedName name="DCD" localSheetId="23">'3395'!$D$89</definedName>
    <definedName name="DCD" localSheetId="24">'3396'!$D$89</definedName>
    <definedName name="DCD" localSheetId="25">'3398'!$D$89</definedName>
    <definedName name="DCD" localSheetId="26">'3400'!$D$89</definedName>
    <definedName name="DCD" localSheetId="27">'3401'!$D$89</definedName>
    <definedName name="DCD" localSheetId="28">'3413'!$D$89</definedName>
    <definedName name="DCD" localSheetId="29">'3421'!$D$89</definedName>
    <definedName name="DCD" localSheetId="30">'3431'!$D$89</definedName>
    <definedName name="DCD" localSheetId="31">'3441'!$D$89</definedName>
    <definedName name="DCD" localSheetId="32">'3924'!$D$89</definedName>
    <definedName name="DCD" localSheetId="33">'3941'!$D$89</definedName>
    <definedName name="DCD" localSheetId="34">'3961'!$D$89</definedName>
    <definedName name="DCD" localSheetId="35">'3971'!$D$89</definedName>
    <definedName name="DCD" localSheetId="36">'4001'!$D$89</definedName>
    <definedName name="DCD" localSheetId="37">'4002'!$D$89</definedName>
    <definedName name="DCD" localSheetId="38">'4012'!$D$89</definedName>
    <definedName name="DCD" localSheetId="39">'4013'!$D$89</definedName>
    <definedName name="DCD" localSheetId="40">'4020'!$D$89</definedName>
    <definedName name="DCD" localSheetId="41">'4030'!$D$89</definedName>
    <definedName name="DCD" localSheetId="42">'4031'!$D$89</definedName>
    <definedName name="DCD" localSheetId="43">'4041'!$D$89</definedName>
    <definedName name="DCD" localSheetId="44">'4050'!$D$89</definedName>
    <definedName name="DCD" localSheetId="45">'4051'!$D$89</definedName>
    <definedName name="DCD" localSheetId="46">'4061'!$D$89</definedName>
    <definedName name="DCD" localSheetId="47">'4080'!$D$89</definedName>
    <definedName name="DCD" localSheetId="48">'4081'!$D$89</definedName>
    <definedName name="DCD" localSheetId="49">'4090'!$D$89</definedName>
    <definedName name="DCD" localSheetId="50">'4091'!$D$89</definedName>
    <definedName name="DCD" localSheetId="51">'4100'!$D$89</definedName>
    <definedName name="DCD" localSheetId="52">'4102'!$D$89</definedName>
    <definedName name="DCD" localSheetId="53">'4103'!$D$89</definedName>
    <definedName name="DCD" localSheetId="54">'4111'!$D$89</definedName>
    <definedName name="DCD" localSheetId="55">'4131'!$D$89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7">'0100'!$G$6</definedName>
    <definedName name="District_Cost_Differential" localSheetId="6">'0571'!$G$6</definedName>
    <definedName name="District_Cost_Differential" localSheetId="8">'1461'!$G$6</definedName>
    <definedName name="District_Cost_Differential" localSheetId="9">'1571'!$G$6</definedName>
    <definedName name="District_Cost_Differential" localSheetId="10">'2521'!$G$6</definedName>
    <definedName name="District_Cost_Differential" localSheetId="11">'2531'!$G$6</definedName>
    <definedName name="District_Cost_Differential" localSheetId="12">'2791'!$G$6</definedName>
    <definedName name="District_Cost_Differential" localSheetId="13">'2801'!$G$6</definedName>
    <definedName name="District_Cost_Differential" localSheetId="14">'2911'!$G$6</definedName>
    <definedName name="District_Cost_Differential" localSheetId="15">'2941'!$G$6</definedName>
    <definedName name="District_Cost_Differential" localSheetId="16">'3083'!$G$6</definedName>
    <definedName name="District_Cost_Differential" localSheetId="17">'3345'!$G$6</definedName>
    <definedName name="District_Cost_Differential" localSheetId="18">'3362'!$G$6</definedName>
    <definedName name="District_Cost_Differential" localSheetId="19">'3381'!$G$6</definedName>
    <definedName name="District_Cost_Differential" localSheetId="20">'3382'!$G$6</definedName>
    <definedName name="District_Cost_Differential" localSheetId="21">'3391'!$G$6</definedName>
    <definedName name="District_Cost_Differential" localSheetId="22">'3394'!$G$6</definedName>
    <definedName name="District_Cost_Differential" localSheetId="23">'3395'!$G$6</definedName>
    <definedName name="District_Cost_Differential" localSheetId="24">'3396'!$G$6</definedName>
    <definedName name="District_Cost_Differential" localSheetId="25">'3398'!$G$6</definedName>
    <definedName name="District_Cost_Differential" localSheetId="26">'3400'!$G$6</definedName>
    <definedName name="District_Cost_Differential" localSheetId="27">'3401'!$G$6</definedName>
    <definedName name="District_Cost_Differential" localSheetId="28">'3413'!$G$6</definedName>
    <definedName name="District_Cost_Differential" localSheetId="29">'3421'!$G$6</definedName>
    <definedName name="District_Cost_Differential" localSheetId="30">'3431'!$G$6</definedName>
    <definedName name="District_Cost_Differential" localSheetId="31">'3441'!$G$6</definedName>
    <definedName name="District_Cost_Differential" localSheetId="32">'3924'!$G$6</definedName>
    <definedName name="District_Cost_Differential" localSheetId="33">'3941'!$G$6</definedName>
    <definedName name="District_Cost_Differential" localSheetId="34">'3961'!$G$6</definedName>
    <definedName name="District_Cost_Differential" localSheetId="35">'3971'!$G$6</definedName>
    <definedName name="District_Cost_Differential" localSheetId="36">'4001'!$G$6</definedName>
    <definedName name="District_Cost_Differential" localSheetId="37">'4002'!$G$6</definedName>
    <definedName name="District_Cost_Differential" localSheetId="38">'4012'!$G$6</definedName>
    <definedName name="District_Cost_Differential" localSheetId="39">'4013'!$G$6</definedName>
    <definedName name="District_Cost_Differential" localSheetId="40">'4020'!$G$6</definedName>
    <definedName name="District_Cost_Differential" localSheetId="41">'4030'!$G$6</definedName>
    <definedName name="District_Cost_Differential" localSheetId="42">'4031'!$G$6</definedName>
    <definedName name="District_Cost_Differential" localSheetId="43">'4041'!$G$6</definedName>
    <definedName name="District_Cost_Differential" localSheetId="44">'4050'!$G$6</definedName>
    <definedName name="District_Cost_Differential" localSheetId="45">'4051'!$G$6</definedName>
    <definedName name="District_Cost_Differential" localSheetId="46">'4061'!$G$6</definedName>
    <definedName name="District_Cost_Differential" localSheetId="47">'4080'!$G$6</definedName>
    <definedName name="District_Cost_Differential" localSheetId="48">'4081'!$G$6</definedName>
    <definedName name="District_Cost_Differential" localSheetId="49">'4090'!$G$6</definedName>
    <definedName name="District_Cost_Differential" localSheetId="50">'4091'!$G$6</definedName>
    <definedName name="District_Cost_Differential" localSheetId="51">'4100'!$G$6</definedName>
    <definedName name="District_Cost_Differential" localSheetId="52">'4102'!$G$6</definedName>
    <definedName name="District_Cost_Differential" localSheetId="53">'4103'!$G$6</definedName>
    <definedName name="District_Cost_Differential" localSheetId="54">'4111'!$G$6</definedName>
    <definedName name="District_Cost_Differential" localSheetId="55">'4131'!$G$6</definedName>
    <definedName name="District_Cost_Differential">'0040'!$G$6</definedName>
    <definedName name="District_SAI_Allocation" localSheetId="7">'0100'!#REF!</definedName>
    <definedName name="District_SAI_Allocation" localSheetId="6">'0571'!#REF!</definedName>
    <definedName name="District_SAI_Allocation" localSheetId="8">'1461'!#REF!</definedName>
    <definedName name="District_SAI_Allocation" localSheetId="9">'1571'!#REF!</definedName>
    <definedName name="District_SAI_Allocation" localSheetId="10">'2521'!#REF!</definedName>
    <definedName name="District_SAI_Allocation" localSheetId="11">'2531'!#REF!</definedName>
    <definedName name="District_SAI_Allocation" localSheetId="12">'2791'!#REF!</definedName>
    <definedName name="District_SAI_Allocation" localSheetId="13">'2801'!#REF!</definedName>
    <definedName name="District_SAI_Allocation" localSheetId="14">'2911'!#REF!</definedName>
    <definedName name="District_SAI_Allocation" localSheetId="15">'2941'!#REF!</definedName>
    <definedName name="District_SAI_Allocation" localSheetId="16">'3083'!#REF!</definedName>
    <definedName name="District_SAI_Allocation" localSheetId="17">'3345'!#REF!</definedName>
    <definedName name="District_SAI_Allocation" localSheetId="18">'3362'!#REF!</definedName>
    <definedName name="District_SAI_Allocation" localSheetId="19">'3381'!#REF!</definedName>
    <definedName name="District_SAI_Allocation" localSheetId="20">'3382'!#REF!</definedName>
    <definedName name="District_SAI_Allocation" localSheetId="21">'3391'!#REF!</definedName>
    <definedName name="District_SAI_Allocation" localSheetId="22">'3394'!#REF!</definedName>
    <definedName name="District_SAI_Allocation" localSheetId="23">'3395'!#REF!</definedName>
    <definedName name="District_SAI_Allocation" localSheetId="24">'3396'!#REF!</definedName>
    <definedName name="District_SAI_Allocation" localSheetId="25">'3398'!#REF!</definedName>
    <definedName name="District_SAI_Allocation" localSheetId="26">'3400'!#REF!</definedName>
    <definedName name="District_SAI_Allocation" localSheetId="27">'3401'!#REF!</definedName>
    <definedName name="District_SAI_Allocation" localSheetId="28">'3413'!#REF!</definedName>
    <definedName name="District_SAI_Allocation" localSheetId="29">'3421'!#REF!</definedName>
    <definedName name="District_SAI_Allocation" localSheetId="30">'3431'!#REF!</definedName>
    <definedName name="District_SAI_Allocation" localSheetId="31">'3441'!#REF!</definedName>
    <definedName name="District_SAI_Allocation" localSheetId="32">'3924'!#REF!</definedName>
    <definedName name="District_SAI_Allocation" localSheetId="33">'3941'!#REF!</definedName>
    <definedName name="District_SAI_Allocation" localSheetId="34">'3961'!#REF!</definedName>
    <definedName name="District_SAI_Allocation" localSheetId="35">'3971'!#REF!</definedName>
    <definedName name="District_SAI_Allocation" localSheetId="36">'4001'!#REF!</definedName>
    <definedName name="District_SAI_Allocation" localSheetId="37">'4002'!#REF!</definedName>
    <definedName name="District_SAI_Allocation" localSheetId="38">'4012'!#REF!</definedName>
    <definedName name="District_SAI_Allocation" localSheetId="39">'4013'!#REF!</definedName>
    <definedName name="District_SAI_Allocation" localSheetId="40">'4020'!#REF!</definedName>
    <definedName name="District_SAI_Allocation" localSheetId="41">'4030'!#REF!</definedName>
    <definedName name="District_SAI_Allocation" localSheetId="42">'4031'!#REF!</definedName>
    <definedName name="District_SAI_Allocation" localSheetId="43">'4041'!#REF!</definedName>
    <definedName name="District_SAI_Allocation" localSheetId="44">'4050'!#REF!</definedName>
    <definedName name="District_SAI_Allocation" localSheetId="45">'4051'!#REF!</definedName>
    <definedName name="District_SAI_Allocation" localSheetId="46">'4061'!#REF!</definedName>
    <definedName name="District_SAI_Allocation" localSheetId="47">'4080'!#REF!</definedName>
    <definedName name="District_SAI_Allocation" localSheetId="48">'4081'!#REF!</definedName>
    <definedName name="District_SAI_Allocation" localSheetId="49">'4090'!#REF!</definedName>
    <definedName name="District_SAI_Allocation" localSheetId="50">'4091'!#REF!</definedName>
    <definedName name="District_SAI_Allocation" localSheetId="51">'4100'!#REF!</definedName>
    <definedName name="District_SAI_Allocation" localSheetId="52">'4102'!#REF!</definedName>
    <definedName name="District_SAI_Allocation" localSheetId="53">'4103'!#REF!</definedName>
    <definedName name="District_SAI_Allocation" localSheetId="54">'4111'!#REF!</definedName>
    <definedName name="District_SAI_Allocation" localSheetId="55">'4131'!#REF!</definedName>
    <definedName name="District_SAI_Allocation">'0040'!#REF!</definedName>
    <definedName name="Districts">#REF!</definedName>
    <definedName name="divided_by_district_FTE" localSheetId="7">'0100'!#REF!</definedName>
    <definedName name="divided_by_district_FTE" localSheetId="6">'0571'!#REF!</definedName>
    <definedName name="divided_by_district_FTE" localSheetId="8">'1461'!#REF!</definedName>
    <definedName name="divided_by_district_FTE" localSheetId="9">'1571'!#REF!</definedName>
    <definedName name="divided_by_district_FTE" localSheetId="10">'2521'!#REF!</definedName>
    <definedName name="divided_by_district_FTE" localSheetId="11">'2531'!#REF!</definedName>
    <definedName name="divided_by_district_FTE" localSheetId="12">'2791'!#REF!</definedName>
    <definedName name="divided_by_district_FTE" localSheetId="13">'2801'!#REF!</definedName>
    <definedName name="divided_by_district_FTE" localSheetId="14">'2911'!#REF!</definedName>
    <definedName name="divided_by_district_FTE" localSheetId="15">'2941'!#REF!</definedName>
    <definedName name="divided_by_district_FTE" localSheetId="16">'3083'!#REF!</definedName>
    <definedName name="divided_by_district_FTE" localSheetId="17">'3345'!#REF!</definedName>
    <definedName name="divided_by_district_FTE" localSheetId="18">'3362'!#REF!</definedName>
    <definedName name="divided_by_district_FTE" localSheetId="19">'3381'!#REF!</definedName>
    <definedName name="divided_by_district_FTE" localSheetId="20">'3382'!#REF!</definedName>
    <definedName name="divided_by_district_FTE" localSheetId="21">'3391'!#REF!</definedName>
    <definedName name="divided_by_district_FTE" localSheetId="22">'3394'!#REF!</definedName>
    <definedName name="divided_by_district_FTE" localSheetId="23">'3395'!#REF!</definedName>
    <definedName name="divided_by_district_FTE" localSheetId="24">'3396'!#REF!</definedName>
    <definedName name="divided_by_district_FTE" localSheetId="25">'3398'!#REF!</definedName>
    <definedName name="divided_by_district_FTE" localSheetId="26">'3400'!#REF!</definedName>
    <definedName name="divided_by_district_FTE" localSheetId="27">'3401'!#REF!</definedName>
    <definedName name="divided_by_district_FTE" localSheetId="28">'3413'!#REF!</definedName>
    <definedName name="divided_by_district_FTE" localSheetId="29">'3421'!#REF!</definedName>
    <definedName name="divided_by_district_FTE" localSheetId="30">'3431'!#REF!</definedName>
    <definedName name="divided_by_district_FTE" localSheetId="31">'3441'!#REF!</definedName>
    <definedName name="divided_by_district_FTE" localSheetId="32">'3924'!#REF!</definedName>
    <definedName name="divided_by_district_FTE" localSheetId="33">'3941'!#REF!</definedName>
    <definedName name="divided_by_district_FTE" localSheetId="34">'3961'!#REF!</definedName>
    <definedName name="divided_by_district_FTE" localSheetId="35">'3971'!#REF!</definedName>
    <definedName name="divided_by_district_FTE" localSheetId="36">'4001'!#REF!</definedName>
    <definedName name="divided_by_district_FTE" localSheetId="37">'4002'!#REF!</definedName>
    <definedName name="divided_by_district_FTE" localSheetId="38">'4012'!#REF!</definedName>
    <definedName name="divided_by_district_FTE" localSheetId="39">'4013'!#REF!</definedName>
    <definedName name="divided_by_district_FTE" localSheetId="40">'4020'!#REF!</definedName>
    <definedName name="divided_by_district_FTE" localSheetId="41">'4030'!#REF!</definedName>
    <definedName name="divided_by_district_FTE" localSheetId="42">'4031'!#REF!</definedName>
    <definedName name="divided_by_district_FTE" localSheetId="43">'4041'!#REF!</definedName>
    <definedName name="divided_by_district_FTE" localSheetId="44">'4050'!#REF!</definedName>
    <definedName name="divided_by_district_FTE" localSheetId="45">'4051'!#REF!</definedName>
    <definedName name="divided_by_district_FTE" localSheetId="46">'4061'!#REF!</definedName>
    <definedName name="divided_by_district_FTE" localSheetId="47">'4080'!#REF!</definedName>
    <definedName name="divided_by_district_FTE" localSheetId="48">'4081'!#REF!</definedName>
    <definedName name="divided_by_district_FTE" localSheetId="49">'4090'!#REF!</definedName>
    <definedName name="divided_by_district_FTE" localSheetId="50">'4091'!#REF!</definedName>
    <definedName name="divided_by_district_FTE" localSheetId="51">'4100'!#REF!</definedName>
    <definedName name="divided_by_district_FTE" localSheetId="52">'4102'!#REF!</definedName>
    <definedName name="divided_by_district_FTE" localSheetId="53">'4103'!#REF!</definedName>
    <definedName name="divided_by_district_FTE" localSheetId="54">'4111'!#REF!</definedName>
    <definedName name="divided_by_district_FTE" localSheetId="55">'4131'!#REF!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7">'0100'!#REF!</definedName>
    <definedName name="FTE" localSheetId="6">'0571'!#REF!</definedName>
    <definedName name="FTE" localSheetId="8">'1461'!#REF!</definedName>
    <definedName name="FTE" localSheetId="9">'1571'!#REF!</definedName>
    <definedName name="FTE" localSheetId="10">'2521'!#REF!</definedName>
    <definedName name="FTE" localSheetId="11">'2531'!#REF!</definedName>
    <definedName name="FTE" localSheetId="12">'2791'!#REF!</definedName>
    <definedName name="FTE" localSheetId="13">'2801'!#REF!</definedName>
    <definedName name="FTE" localSheetId="14">'2911'!#REF!</definedName>
    <definedName name="FTE" localSheetId="15">'2941'!#REF!</definedName>
    <definedName name="FTE" localSheetId="16">'3083'!#REF!</definedName>
    <definedName name="FTE" localSheetId="17">'3345'!#REF!</definedName>
    <definedName name="FTE" localSheetId="18">'3362'!#REF!</definedName>
    <definedName name="FTE" localSheetId="19">'3381'!#REF!</definedName>
    <definedName name="FTE" localSheetId="20">'3382'!#REF!</definedName>
    <definedName name="FTE" localSheetId="21">'3391'!#REF!</definedName>
    <definedName name="FTE" localSheetId="22">'3394'!#REF!</definedName>
    <definedName name="FTE" localSheetId="23">'3395'!#REF!</definedName>
    <definedName name="FTE" localSheetId="24">'3396'!#REF!</definedName>
    <definedName name="FTE" localSheetId="25">'3398'!#REF!</definedName>
    <definedName name="FTE" localSheetId="26">'3400'!#REF!</definedName>
    <definedName name="FTE" localSheetId="27">'3401'!#REF!</definedName>
    <definedName name="FTE" localSheetId="28">'3413'!#REF!</definedName>
    <definedName name="FTE" localSheetId="29">'3421'!#REF!</definedName>
    <definedName name="FTE" localSheetId="30">'3431'!#REF!</definedName>
    <definedName name="FTE" localSheetId="31">'3441'!#REF!</definedName>
    <definedName name="FTE" localSheetId="32">'3924'!#REF!</definedName>
    <definedName name="FTE" localSheetId="33">'3941'!#REF!</definedName>
    <definedName name="FTE" localSheetId="34">'3961'!#REF!</definedName>
    <definedName name="FTE" localSheetId="35">'3971'!#REF!</definedName>
    <definedName name="FTE" localSheetId="36">'4001'!#REF!</definedName>
    <definedName name="FTE" localSheetId="37">'4002'!#REF!</definedName>
    <definedName name="FTE" localSheetId="38">'4012'!#REF!</definedName>
    <definedName name="FTE" localSheetId="39">'4013'!#REF!</definedName>
    <definedName name="FTE" localSheetId="40">'4020'!#REF!</definedName>
    <definedName name="FTE" localSheetId="41">'4030'!#REF!</definedName>
    <definedName name="FTE" localSheetId="42">'4031'!#REF!</definedName>
    <definedName name="FTE" localSheetId="43">'4041'!#REF!</definedName>
    <definedName name="FTE" localSheetId="44">'4050'!#REF!</definedName>
    <definedName name="FTE" localSheetId="45">'4051'!#REF!</definedName>
    <definedName name="FTE" localSheetId="46">'4061'!#REF!</definedName>
    <definedName name="FTE" localSheetId="47">'4080'!#REF!</definedName>
    <definedName name="FTE" localSheetId="48">'4081'!#REF!</definedName>
    <definedName name="FTE" localSheetId="49">'4090'!#REF!</definedName>
    <definedName name="FTE" localSheetId="50">'4091'!#REF!</definedName>
    <definedName name="FTE" localSheetId="51">'4100'!#REF!</definedName>
    <definedName name="FTE" localSheetId="52">'4102'!#REF!</definedName>
    <definedName name="FTE" localSheetId="53">'4103'!#REF!</definedName>
    <definedName name="FTE" localSheetId="54">'4111'!#REF!</definedName>
    <definedName name="FTE" localSheetId="55">'4131'!#REF!</definedName>
    <definedName name="FTE">'0040'!#REF!</definedName>
    <definedName name="Gadsden">#REF!</definedName>
    <definedName name="Gilchrist">#REF!</definedName>
    <definedName name="Glades">#REF!</definedName>
    <definedName name="Grade_Level" localSheetId="7">'0100'!#REF!</definedName>
    <definedName name="Grade_Level" localSheetId="6">'0571'!#REF!</definedName>
    <definedName name="Grade_Level" localSheetId="8">'1461'!#REF!</definedName>
    <definedName name="Grade_Level" localSheetId="9">'1571'!#REF!</definedName>
    <definedName name="Grade_Level" localSheetId="10">'2521'!#REF!</definedName>
    <definedName name="Grade_Level" localSheetId="11">'2531'!#REF!</definedName>
    <definedName name="Grade_Level" localSheetId="12">'2791'!#REF!</definedName>
    <definedName name="Grade_Level" localSheetId="13">'2801'!#REF!</definedName>
    <definedName name="Grade_Level" localSheetId="14">'2911'!#REF!</definedName>
    <definedName name="Grade_Level" localSheetId="15">'2941'!#REF!</definedName>
    <definedName name="Grade_Level" localSheetId="16">'3083'!#REF!</definedName>
    <definedName name="Grade_Level" localSheetId="17">'3345'!#REF!</definedName>
    <definedName name="Grade_Level" localSheetId="18">'3362'!#REF!</definedName>
    <definedName name="Grade_Level" localSheetId="19">'3381'!#REF!</definedName>
    <definedName name="Grade_Level" localSheetId="20">'3382'!#REF!</definedName>
    <definedName name="Grade_Level" localSheetId="21">'3391'!#REF!</definedName>
    <definedName name="Grade_Level" localSheetId="22">'3394'!#REF!</definedName>
    <definedName name="Grade_Level" localSheetId="23">'3395'!#REF!</definedName>
    <definedName name="Grade_Level" localSheetId="24">'3396'!#REF!</definedName>
    <definedName name="Grade_Level" localSheetId="25">'3398'!#REF!</definedName>
    <definedName name="Grade_Level" localSheetId="26">'3400'!#REF!</definedName>
    <definedName name="Grade_Level" localSheetId="27">'3401'!#REF!</definedName>
    <definedName name="Grade_Level" localSheetId="28">'3413'!#REF!</definedName>
    <definedName name="Grade_Level" localSheetId="29">'3421'!#REF!</definedName>
    <definedName name="Grade_Level" localSheetId="30">'3431'!#REF!</definedName>
    <definedName name="Grade_Level" localSheetId="31">'3441'!#REF!</definedName>
    <definedName name="Grade_Level" localSheetId="32">'3924'!#REF!</definedName>
    <definedName name="Grade_Level" localSheetId="33">'3941'!#REF!</definedName>
    <definedName name="Grade_Level" localSheetId="34">'3961'!#REF!</definedName>
    <definedName name="Grade_Level" localSheetId="35">'3971'!#REF!</definedName>
    <definedName name="Grade_Level" localSheetId="36">'4001'!#REF!</definedName>
    <definedName name="Grade_Level" localSheetId="37">'4002'!#REF!</definedName>
    <definedName name="Grade_Level" localSheetId="38">'4012'!#REF!</definedName>
    <definedName name="Grade_Level" localSheetId="39">'4013'!#REF!</definedName>
    <definedName name="Grade_Level" localSheetId="40">'4020'!#REF!</definedName>
    <definedName name="Grade_Level" localSheetId="41">'4030'!#REF!</definedName>
    <definedName name="Grade_Level" localSheetId="42">'4031'!#REF!</definedName>
    <definedName name="Grade_Level" localSheetId="43">'4041'!#REF!</definedName>
    <definedName name="Grade_Level" localSheetId="44">'4050'!#REF!</definedName>
    <definedName name="Grade_Level" localSheetId="45">'4051'!#REF!</definedName>
    <definedName name="Grade_Level" localSheetId="46">'4061'!#REF!</definedName>
    <definedName name="Grade_Level" localSheetId="47">'4080'!#REF!</definedName>
    <definedName name="Grade_Level" localSheetId="48">'4081'!#REF!</definedName>
    <definedName name="Grade_Level" localSheetId="49">'4090'!#REF!</definedName>
    <definedName name="Grade_Level" localSheetId="50">'4091'!#REF!</definedName>
    <definedName name="Grade_Level" localSheetId="51">'4100'!#REF!</definedName>
    <definedName name="Grade_Level" localSheetId="52">'4102'!#REF!</definedName>
    <definedName name="Grade_Level" localSheetId="53">'4103'!#REF!</definedName>
    <definedName name="Grade_Level" localSheetId="54">'4111'!#REF!</definedName>
    <definedName name="Grade_Level" localSheetId="55">'4131'!#REF!</definedName>
    <definedName name="Grade_Level">'0040'!#REF!</definedName>
    <definedName name="Guarantee_Per_Student" localSheetId="7">'0100'!#REF!</definedName>
    <definedName name="Guarantee_Per_Student" localSheetId="6">'0571'!#REF!</definedName>
    <definedName name="Guarantee_Per_Student" localSheetId="8">'1461'!#REF!</definedName>
    <definedName name="Guarantee_Per_Student" localSheetId="9">'1571'!#REF!</definedName>
    <definedName name="Guarantee_Per_Student" localSheetId="10">'2521'!#REF!</definedName>
    <definedName name="Guarantee_Per_Student" localSheetId="11">'2531'!#REF!</definedName>
    <definedName name="Guarantee_Per_Student" localSheetId="12">'2791'!#REF!</definedName>
    <definedName name="Guarantee_Per_Student" localSheetId="13">'2801'!#REF!</definedName>
    <definedName name="Guarantee_Per_Student" localSheetId="14">'2911'!#REF!</definedName>
    <definedName name="Guarantee_Per_Student" localSheetId="15">'2941'!#REF!</definedName>
    <definedName name="Guarantee_Per_Student" localSheetId="16">'3083'!#REF!</definedName>
    <definedName name="Guarantee_Per_Student" localSheetId="17">'3345'!#REF!</definedName>
    <definedName name="Guarantee_Per_Student" localSheetId="18">'3362'!#REF!</definedName>
    <definedName name="Guarantee_Per_Student" localSheetId="19">'3381'!#REF!</definedName>
    <definedName name="Guarantee_Per_Student" localSheetId="20">'3382'!#REF!</definedName>
    <definedName name="Guarantee_Per_Student" localSheetId="21">'3391'!#REF!</definedName>
    <definedName name="Guarantee_Per_Student" localSheetId="22">'3394'!#REF!</definedName>
    <definedName name="Guarantee_Per_Student" localSheetId="23">'3395'!#REF!</definedName>
    <definedName name="Guarantee_Per_Student" localSheetId="24">'3396'!#REF!</definedName>
    <definedName name="Guarantee_Per_Student" localSheetId="25">'3398'!#REF!</definedName>
    <definedName name="Guarantee_Per_Student" localSheetId="26">'3400'!#REF!</definedName>
    <definedName name="Guarantee_Per_Student" localSheetId="27">'3401'!#REF!</definedName>
    <definedName name="Guarantee_Per_Student" localSheetId="28">'3413'!#REF!</definedName>
    <definedName name="Guarantee_Per_Student" localSheetId="29">'3421'!#REF!</definedName>
    <definedName name="Guarantee_Per_Student" localSheetId="30">'3431'!#REF!</definedName>
    <definedName name="Guarantee_Per_Student" localSheetId="31">'3441'!#REF!</definedName>
    <definedName name="Guarantee_Per_Student" localSheetId="32">'3924'!#REF!</definedName>
    <definedName name="Guarantee_Per_Student" localSheetId="33">'3941'!#REF!</definedName>
    <definedName name="Guarantee_Per_Student" localSheetId="34">'3961'!#REF!</definedName>
    <definedName name="Guarantee_Per_Student" localSheetId="35">'3971'!#REF!</definedName>
    <definedName name="Guarantee_Per_Student" localSheetId="36">'4001'!#REF!</definedName>
    <definedName name="Guarantee_Per_Student" localSheetId="37">'4002'!#REF!</definedName>
    <definedName name="Guarantee_Per_Student" localSheetId="38">'4012'!#REF!</definedName>
    <definedName name="Guarantee_Per_Student" localSheetId="39">'4013'!#REF!</definedName>
    <definedName name="Guarantee_Per_Student" localSheetId="40">'4020'!#REF!</definedName>
    <definedName name="Guarantee_Per_Student" localSheetId="41">'4030'!#REF!</definedName>
    <definedName name="Guarantee_Per_Student" localSheetId="42">'4031'!#REF!</definedName>
    <definedName name="Guarantee_Per_Student" localSheetId="43">'4041'!#REF!</definedName>
    <definedName name="Guarantee_Per_Student" localSheetId="44">'4050'!#REF!</definedName>
    <definedName name="Guarantee_Per_Student" localSheetId="45">'4051'!#REF!</definedName>
    <definedName name="Guarantee_Per_Student" localSheetId="46">'4061'!#REF!</definedName>
    <definedName name="Guarantee_Per_Student" localSheetId="47">'4080'!#REF!</definedName>
    <definedName name="Guarantee_Per_Student" localSheetId="48">'4081'!#REF!</definedName>
    <definedName name="Guarantee_Per_Student" localSheetId="49">'4090'!#REF!</definedName>
    <definedName name="Guarantee_Per_Student" localSheetId="50">'4091'!#REF!</definedName>
    <definedName name="Guarantee_Per_Student" localSheetId="51">'4100'!#REF!</definedName>
    <definedName name="Guarantee_Per_Student" localSheetId="52">'4102'!#REF!</definedName>
    <definedName name="Guarantee_Per_Student" localSheetId="53">'4103'!#REF!</definedName>
    <definedName name="Guarantee_Per_Student" localSheetId="54">'4111'!#REF!</definedName>
    <definedName name="Guarantee_Per_Student" localSheetId="55">'4131'!#REF!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7">'0100'!#REF!</definedName>
    <definedName name="Matrix_Level" localSheetId="6">'0571'!#REF!</definedName>
    <definedName name="Matrix_Level" localSheetId="8">'1461'!#REF!</definedName>
    <definedName name="Matrix_Level" localSheetId="9">'1571'!#REF!</definedName>
    <definedName name="Matrix_Level" localSheetId="10">'2521'!#REF!</definedName>
    <definedName name="Matrix_Level" localSheetId="11">'2531'!#REF!</definedName>
    <definedName name="Matrix_Level" localSheetId="12">'2791'!#REF!</definedName>
    <definedName name="Matrix_Level" localSheetId="13">'2801'!#REF!</definedName>
    <definedName name="Matrix_Level" localSheetId="14">'2911'!#REF!</definedName>
    <definedName name="Matrix_Level" localSheetId="15">'2941'!#REF!</definedName>
    <definedName name="Matrix_Level" localSheetId="16">'3083'!#REF!</definedName>
    <definedName name="Matrix_Level" localSheetId="17">'3345'!#REF!</definedName>
    <definedName name="Matrix_Level" localSheetId="18">'3362'!#REF!</definedName>
    <definedName name="Matrix_Level" localSheetId="19">'3381'!#REF!</definedName>
    <definedName name="Matrix_Level" localSheetId="20">'3382'!#REF!</definedName>
    <definedName name="Matrix_Level" localSheetId="21">'3391'!#REF!</definedName>
    <definedName name="Matrix_Level" localSheetId="22">'3394'!#REF!</definedName>
    <definedName name="Matrix_Level" localSheetId="23">'3395'!#REF!</definedName>
    <definedName name="Matrix_Level" localSheetId="24">'3396'!#REF!</definedName>
    <definedName name="Matrix_Level" localSheetId="25">'3398'!#REF!</definedName>
    <definedName name="Matrix_Level" localSheetId="26">'3400'!#REF!</definedName>
    <definedName name="Matrix_Level" localSheetId="27">'3401'!#REF!</definedName>
    <definedName name="Matrix_Level" localSheetId="28">'3413'!#REF!</definedName>
    <definedName name="Matrix_Level" localSheetId="29">'3421'!#REF!</definedName>
    <definedName name="Matrix_Level" localSheetId="30">'3431'!#REF!</definedName>
    <definedName name="Matrix_Level" localSheetId="31">'3441'!#REF!</definedName>
    <definedName name="Matrix_Level" localSheetId="32">'3924'!#REF!</definedName>
    <definedName name="Matrix_Level" localSheetId="33">'3941'!#REF!</definedName>
    <definedName name="Matrix_Level" localSheetId="34">'3961'!#REF!</definedName>
    <definedName name="Matrix_Level" localSheetId="35">'3971'!#REF!</definedName>
    <definedName name="Matrix_Level" localSheetId="36">'4001'!#REF!</definedName>
    <definedName name="Matrix_Level" localSheetId="37">'4002'!#REF!</definedName>
    <definedName name="Matrix_Level" localSheetId="38">'4012'!#REF!</definedName>
    <definedName name="Matrix_Level" localSheetId="39">'4013'!#REF!</definedName>
    <definedName name="Matrix_Level" localSheetId="40">'4020'!#REF!</definedName>
    <definedName name="Matrix_Level" localSheetId="41">'4030'!#REF!</definedName>
    <definedName name="Matrix_Level" localSheetId="42">'4031'!#REF!</definedName>
    <definedName name="Matrix_Level" localSheetId="43">'4041'!#REF!</definedName>
    <definedName name="Matrix_Level" localSheetId="44">'4050'!#REF!</definedName>
    <definedName name="Matrix_Level" localSheetId="45">'4051'!#REF!</definedName>
    <definedName name="Matrix_Level" localSheetId="46">'4061'!#REF!</definedName>
    <definedName name="Matrix_Level" localSheetId="47">'4080'!#REF!</definedName>
    <definedName name="Matrix_Level" localSheetId="48">'4081'!#REF!</definedName>
    <definedName name="Matrix_Level" localSheetId="49">'4090'!#REF!</definedName>
    <definedName name="Matrix_Level" localSheetId="50">'4091'!#REF!</definedName>
    <definedName name="Matrix_Level" localSheetId="51">'4100'!#REF!</definedName>
    <definedName name="Matrix_Level" localSheetId="52">'4102'!#REF!</definedName>
    <definedName name="Matrix_Level" localSheetId="53">'4103'!#REF!</definedName>
    <definedName name="Matrix_Level" localSheetId="54">'4111'!#REF!</definedName>
    <definedName name="Matrix_Level" localSheetId="55">'4131'!#REF!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7">'0100'!$E$10</definedName>
    <definedName name="Number_of_FTE" localSheetId="6">'0571'!$E$10</definedName>
    <definedName name="Number_of_FTE" localSheetId="8">'1461'!$E$10</definedName>
    <definedName name="Number_of_FTE" localSheetId="9">'1571'!$E$10</definedName>
    <definedName name="Number_of_FTE" localSheetId="10">'2521'!$E$10</definedName>
    <definedName name="Number_of_FTE" localSheetId="11">'2531'!$E$10</definedName>
    <definedName name="Number_of_FTE" localSheetId="12">'2791'!$E$10</definedName>
    <definedName name="Number_of_FTE" localSheetId="13">'2801'!$E$10</definedName>
    <definedName name="Number_of_FTE" localSheetId="14">'2911'!$E$10</definedName>
    <definedName name="Number_of_FTE" localSheetId="15">'2941'!$E$10</definedName>
    <definedName name="Number_of_FTE" localSheetId="16">'3083'!$E$10</definedName>
    <definedName name="Number_of_FTE" localSheetId="17">'3345'!$E$10</definedName>
    <definedName name="Number_of_FTE" localSheetId="18">'3362'!$E$10</definedName>
    <definedName name="Number_of_FTE" localSheetId="19">'3381'!$E$10</definedName>
    <definedName name="Number_of_FTE" localSheetId="20">'3382'!$E$10</definedName>
    <definedName name="Number_of_FTE" localSheetId="21">'3391'!$E$10</definedName>
    <definedName name="Number_of_FTE" localSheetId="22">'3394'!$E$10</definedName>
    <definedName name="Number_of_FTE" localSheetId="23">'3395'!$E$10</definedName>
    <definedName name="Number_of_FTE" localSheetId="24">'3396'!$E$10</definedName>
    <definedName name="Number_of_FTE" localSheetId="25">'3398'!$E$10</definedName>
    <definedName name="Number_of_FTE" localSheetId="26">'3400'!$E$10</definedName>
    <definedName name="Number_of_FTE" localSheetId="27">'3401'!$E$10</definedName>
    <definedName name="Number_of_FTE" localSheetId="28">'3413'!$E$10</definedName>
    <definedName name="Number_of_FTE" localSheetId="29">'3421'!$E$10</definedName>
    <definedName name="Number_of_FTE" localSheetId="30">'3431'!$E$10</definedName>
    <definedName name="Number_of_FTE" localSheetId="31">'3441'!$E$10</definedName>
    <definedName name="Number_of_FTE" localSheetId="32">'3924'!$E$10</definedName>
    <definedName name="Number_of_FTE" localSheetId="33">'3941'!$E$10</definedName>
    <definedName name="Number_of_FTE" localSheetId="34">'3961'!$E$10</definedName>
    <definedName name="Number_of_FTE" localSheetId="35">'3971'!$E$10</definedName>
    <definedName name="Number_of_FTE" localSheetId="36">'4001'!$E$10</definedName>
    <definedName name="Number_of_FTE" localSheetId="37">'4002'!$E$10</definedName>
    <definedName name="Number_of_FTE" localSheetId="38">'4012'!$E$10</definedName>
    <definedName name="Number_of_FTE" localSheetId="39">'4013'!$E$10</definedName>
    <definedName name="Number_of_FTE" localSheetId="40">'4020'!$E$10</definedName>
    <definedName name="Number_of_FTE" localSheetId="41">'4030'!$E$10</definedName>
    <definedName name="Number_of_FTE" localSheetId="42">'4031'!$E$10</definedName>
    <definedName name="Number_of_FTE" localSheetId="43">'4041'!$E$10</definedName>
    <definedName name="Number_of_FTE" localSheetId="44">'4050'!$E$10</definedName>
    <definedName name="Number_of_FTE" localSheetId="45">'4051'!$E$10</definedName>
    <definedName name="Number_of_FTE" localSheetId="46">'4061'!$E$10</definedName>
    <definedName name="Number_of_FTE" localSheetId="47">'4080'!$E$10</definedName>
    <definedName name="Number_of_FTE" localSheetId="48">'4081'!$E$10</definedName>
    <definedName name="Number_of_FTE" localSheetId="49">'4090'!$E$10</definedName>
    <definedName name="Number_of_FTE" localSheetId="50">'4091'!$E$10</definedName>
    <definedName name="Number_of_FTE" localSheetId="51">'4100'!$E$10</definedName>
    <definedName name="Number_of_FTE" localSheetId="52">'4102'!$E$10</definedName>
    <definedName name="Number_of_FTE" localSheetId="53">'4103'!$E$10</definedName>
    <definedName name="Number_of_FTE" localSheetId="54">'4111'!$E$10</definedName>
    <definedName name="Number_of_FTE" localSheetId="55">'4131'!$E$10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7">'0100'!#REF!</definedName>
    <definedName name="Per_Student" localSheetId="6">'0571'!#REF!</definedName>
    <definedName name="Per_Student" localSheetId="8">'1461'!#REF!</definedName>
    <definedName name="Per_Student" localSheetId="9">'1571'!#REF!</definedName>
    <definedName name="Per_Student" localSheetId="10">'2521'!#REF!</definedName>
    <definedName name="Per_Student" localSheetId="11">'2531'!#REF!</definedName>
    <definedName name="Per_Student" localSheetId="12">'2791'!#REF!</definedName>
    <definedName name="Per_Student" localSheetId="13">'2801'!#REF!</definedName>
    <definedName name="Per_Student" localSheetId="14">'2911'!#REF!</definedName>
    <definedName name="Per_Student" localSheetId="15">'2941'!#REF!</definedName>
    <definedName name="Per_Student" localSheetId="16">'3083'!#REF!</definedName>
    <definedName name="Per_Student" localSheetId="17">'3345'!#REF!</definedName>
    <definedName name="Per_Student" localSheetId="18">'3362'!#REF!</definedName>
    <definedName name="Per_Student" localSheetId="19">'3381'!#REF!</definedName>
    <definedName name="Per_Student" localSheetId="20">'3382'!#REF!</definedName>
    <definedName name="Per_Student" localSheetId="21">'3391'!#REF!</definedName>
    <definedName name="Per_Student" localSheetId="22">'3394'!#REF!</definedName>
    <definedName name="Per_Student" localSheetId="23">'3395'!#REF!</definedName>
    <definedName name="Per_Student" localSheetId="24">'3396'!#REF!</definedName>
    <definedName name="Per_Student" localSheetId="25">'3398'!#REF!</definedName>
    <definedName name="Per_Student" localSheetId="26">'3400'!#REF!</definedName>
    <definedName name="Per_Student" localSheetId="27">'3401'!#REF!</definedName>
    <definedName name="Per_Student" localSheetId="28">'3413'!#REF!</definedName>
    <definedName name="Per_Student" localSheetId="29">'3421'!#REF!</definedName>
    <definedName name="Per_Student" localSheetId="30">'3431'!#REF!</definedName>
    <definedName name="Per_Student" localSheetId="31">'3441'!#REF!</definedName>
    <definedName name="Per_Student" localSheetId="32">'3924'!#REF!</definedName>
    <definedName name="Per_Student" localSheetId="33">'3941'!#REF!</definedName>
    <definedName name="Per_Student" localSheetId="34">'3961'!#REF!</definedName>
    <definedName name="Per_Student" localSheetId="35">'3971'!#REF!</definedName>
    <definedName name="Per_Student" localSheetId="36">'4001'!#REF!</definedName>
    <definedName name="Per_Student" localSheetId="37">'4002'!#REF!</definedName>
    <definedName name="Per_Student" localSheetId="38">'4012'!#REF!</definedName>
    <definedName name="Per_Student" localSheetId="39">'4013'!#REF!</definedName>
    <definedName name="Per_Student" localSheetId="40">'4020'!#REF!</definedName>
    <definedName name="Per_Student" localSheetId="41">'4030'!#REF!</definedName>
    <definedName name="Per_Student" localSheetId="42">'4031'!#REF!</definedName>
    <definedName name="Per_Student" localSheetId="43">'4041'!#REF!</definedName>
    <definedName name="Per_Student" localSheetId="44">'4050'!#REF!</definedName>
    <definedName name="Per_Student" localSheetId="45">'4051'!#REF!</definedName>
    <definedName name="Per_Student" localSheetId="46">'4061'!#REF!</definedName>
    <definedName name="Per_Student" localSheetId="47">'4080'!#REF!</definedName>
    <definedName name="Per_Student" localSheetId="48">'4081'!#REF!</definedName>
    <definedName name="Per_Student" localSheetId="49">'4090'!#REF!</definedName>
    <definedName name="Per_Student" localSheetId="50">'4091'!#REF!</definedName>
    <definedName name="Per_Student" localSheetId="51">'4100'!#REF!</definedName>
    <definedName name="Per_Student" localSheetId="52">'4102'!#REF!</definedName>
    <definedName name="Per_Student" localSheetId="53">'4103'!#REF!</definedName>
    <definedName name="Per_Student" localSheetId="54">'4111'!#REF!</definedName>
    <definedName name="Per_Student" localSheetId="55">'4131'!#REF!</definedName>
    <definedName name="Per_Student">'0040'!#REF!</definedName>
    <definedName name="Pinellas">#REF!</definedName>
    <definedName name="PK___3" localSheetId="7">'0100'!$A$90</definedName>
    <definedName name="PK___3" localSheetId="6">'0571'!$A$90</definedName>
    <definedName name="PK___3" localSheetId="8">'1461'!$A$90</definedName>
    <definedName name="PK___3" localSheetId="9">'1571'!$A$90</definedName>
    <definedName name="PK___3" localSheetId="10">'2521'!$A$90</definedName>
    <definedName name="PK___3" localSheetId="11">'2531'!$A$90</definedName>
    <definedName name="PK___3" localSheetId="12">'2791'!$A$90</definedName>
    <definedName name="PK___3" localSheetId="13">'2801'!$A$90</definedName>
    <definedName name="PK___3" localSheetId="14">'2911'!$A$90</definedName>
    <definedName name="PK___3" localSheetId="15">'2941'!$A$90</definedName>
    <definedName name="PK___3" localSheetId="16">'3083'!$A$90</definedName>
    <definedName name="PK___3" localSheetId="17">'3345'!$A$90</definedName>
    <definedName name="PK___3" localSheetId="18">'3362'!$A$90</definedName>
    <definedName name="PK___3" localSheetId="19">'3381'!$A$90</definedName>
    <definedName name="PK___3" localSheetId="20">'3382'!$A$90</definedName>
    <definedName name="PK___3" localSheetId="21">'3391'!$A$90</definedName>
    <definedName name="PK___3" localSheetId="22">'3394'!$A$90</definedName>
    <definedName name="PK___3" localSheetId="23">'3395'!$A$90</definedName>
    <definedName name="PK___3" localSheetId="24">'3396'!$A$90</definedName>
    <definedName name="PK___3" localSheetId="25">'3398'!$A$90</definedName>
    <definedName name="PK___3" localSheetId="26">'3400'!$A$90</definedName>
    <definedName name="PK___3" localSheetId="27">'3401'!$A$90</definedName>
    <definedName name="PK___3" localSheetId="28">'3413'!$A$90</definedName>
    <definedName name="PK___3" localSheetId="29">'3421'!$A$90</definedName>
    <definedName name="PK___3" localSheetId="30">'3431'!$A$90</definedName>
    <definedName name="PK___3" localSheetId="31">'3441'!$A$90</definedName>
    <definedName name="PK___3" localSheetId="32">'3924'!$A$90</definedName>
    <definedName name="PK___3" localSheetId="33">'3941'!$A$90</definedName>
    <definedName name="PK___3" localSheetId="34">'3961'!$A$90</definedName>
    <definedName name="PK___3" localSheetId="35">'3971'!$A$90</definedName>
    <definedName name="PK___3" localSheetId="36">'4001'!$A$90</definedName>
    <definedName name="PK___3" localSheetId="37">'4002'!$A$90</definedName>
    <definedName name="PK___3" localSheetId="38">'4012'!$A$90</definedName>
    <definedName name="PK___3" localSheetId="39">'4013'!$A$90</definedName>
    <definedName name="PK___3" localSheetId="40">'4020'!$A$90</definedName>
    <definedName name="PK___3" localSheetId="41">'4030'!$A$90</definedName>
    <definedName name="PK___3" localSheetId="42">'4031'!$A$90</definedName>
    <definedName name="PK___3" localSheetId="43">'4041'!$A$90</definedName>
    <definedName name="PK___3" localSheetId="44">'4050'!$A$90</definedName>
    <definedName name="PK___3" localSheetId="45">'4051'!$A$90</definedName>
    <definedName name="PK___3" localSheetId="46">'4061'!$A$90</definedName>
    <definedName name="PK___3" localSheetId="47">'4080'!$A$90</definedName>
    <definedName name="PK___3" localSheetId="48">'4081'!$A$90</definedName>
    <definedName name="PK___3" localSheetId="49">'4090'!$A$90</definedName>
    <definedName name="PK___3" localSheetId="50">'4091'!$A$90</definedName>
    <definedName name="PK___3" localSheetId="51">'4100'!$A$90</definedName>
    <definedName name="PK___3" localSheetId="52">'4102'!$A$90</definedName>
    <definedName name="PK___3" localSheetId="53">'4103'!$A$90</definedName>
    <definedName name="PK___3" localSheetId="54">'4111'!$A$90</definedName>
    <definedName name="PK___3" localSheetId="55">'4131'!$A$90</definedName>
    <definedName name="PK___3">'0040'!$A$90</definedName>
    <definedName name="Polk">#REF!</definedName>
    <definedName name="PRACTICE" localSheetId="5"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'0040'!$A$2:$J$146</definedName>
    <definedName name="_xlnm.Print_Area" localSheetId="7">'0100'!$A$2:$J$146</definedName>
    <definedName name="_xlnm.Print_Area" localSheetId="6">'0571'!$A$2:$J$146</definedName>
    <definedName name="_xlnm.Print_Area" localSheetId="8">'1461'!$A$2:$J$146</definedName>
    <definedName name="_xlnm.Print_Area" localSheetId="9">'1571'!$A$2:$J$146</definedName>
    <definedName name="_xlnm.Print_Area" localSheetId="10">'2521'!$A$2:$J$146</definedName>
    <definedName name="_xlnm.Print_Area" localSheetId="11">'2531'!$A$2:$J$146</definedName>
    <definedName name="_xlnm.Print_Area" localSheetId="12">'2791'!$A$2:$J$146</definedName>
    <definedName name="_xlnm.Print_Area" localSheetId="13">'2801'!$A$2:$J$146</definedName>
    <definedName name="_xlnm.Print_Area" localSheetId="14">'2911'!$A$2:$J$146</definedName>
    <definedName name="_xlnm.Print_Area" localSheetId="15">'2941'!$A$2:$J$146</definedName>
    <definedName name="_xlnm.Print_Area" localSheetId="16">'3083'!$A$2:$J$146</definedName>
    <definedName name="_xlnm.Print_Area" localSheetId="17">'3345'!$A$2:$J$146</definedName>
    <definedName name="_xlnm.Print_Area" localSheetId="18">'3362'!$A$2:$J$146</definedName>
    <definedName name="_xlnm.Print_Area" localSheetId="19">'3381'!$A$2:$J$146</definedName>
    <definedName name="_xlnm.Print_Area" localSheetId="20">'3382'!$A$2:$J$146</definedName>
    <definedName name="_xlnm.Print_Area" localSheetId="21">'3391'!$A$2:$J$146</definedName>
    <definedName name="_xlnm.Print_Area" localSheetId="22">'3394'!$A$2:$J$146</definedName>
    <definedName name="_xlnm.Print_Area" localSheetId="23">'3395'!$A$2:$J$146</definedName>
    <definedName name="_xlnm.Print_Area" localSheetId="24">'3396'!$A$2:$J$146</definedName>
    <definedName name="_xlnm.Print_Area" localSheetId="25">'3398'!$A$2:$J$146</definedName>
    <definedName name="_xlnm.Print_Area" localSheetId="26">'3400'!$A$2:$J$146</definedName>
    <definedName name="_xlnm.Print_Area" localSheetId="27">'3401'!$A$2:$J$146</definedName>
    <definedName name="_xlnm.Print_Area" localSheetId="28">'3413'!$A$2:$J$146</definedName>
    <definedName name="_xlnm.Print_Area" localSheetId="29">'3421'!$A$2:$J$146</definedName>
    <definedName name="_xlnm.Print_Area" localSheetId="30">'3431'!$A$2:$J$146</definedName>
    <definedName name="_xlnm.Print_Area" localSheetId="31">'3441'!$A$2:$J$146</definedName>
    <definedName name="_xlnm.Print_Area" localSheetId="32">'3924'!$A$2:$J$146</definedName>
    <definedName name="_xlnm.Print_Area" localSheetId="33">'3941'!$A$2:$J$146</definedName>
    <definedName name="_xlnm.Print_Area" localSheetId="34">'3961'!$A$2:$J$146</definedName>
    <definedName name="_xlnm.Print_Area" localSheetId="35">'3971'!$A$2:$J$146</definedName>
    <definedName name="_xlnm.Print_Area" localSheetId="36">'4001'!$A$2:$J$146</definedName>
    <definedName name="_xlnm.Print_Area" localSheetId="37">'4002'!$A$2:$J$146</definedName>
    <definedName name="_xlnm.Print_Area" localSheetId="38">'4012'!$A$2:$J$146</definedName>
    <definedName name="_xlnm.Print_Area" localSheetId="39">'4013'!$A$2:$J$146</definedName>
    <definedName name="_xlnm.Print_Area" localSheetId="40">'4020'!$A$2:$J$146</definedName>
    <definedName name="_xlnm.Print_Area" localSheetId="41">'4030'!$A$2:$J$146</definedName>
    <definedName name="_xlnm.Print_Area" localSheetId="42">'4031'!$A$2:$J$146</definedName>
    <definedName name="_xlnm.Print_Area" localSheetId="43">'4041'!$A$2:$J$146</definedName>
    <definedName name="_xlnm.Print_Area" localSheetId="44">'4050'!$A$2:$J$146</definedName>
    <definedName name="_xlnm.Print_Area" localSheetId="45">'4051'!$A$2:$J$146</definedName>
    <definedName name="_xlnm.Print_Area" localSheetId="46">'4061'!$A$2:$J$146</definedName>
    <definedName name="_xlnm.Print_Area" localSheetId="47">'4080'!$A$2:$J$146</definedName>
    <definedName name="_xlnm.Print_Area" localSheetId="48">'4081'!$A$2:$J$146</definedName>
    <definedName name="_xlnm.Print_Area" localSheetId="49">'4090'!$A$2:$J$146</definedName>
    <definedName name="_xlnm.Print_Area" localSheetId="50">'4091'!$A$2:$J$146</definedName>
    <definedName name="_xlnm.Print_Area" localSheetId="51">'4100'!$A$2:$J$146</definedName>
    <definedName name="_xlnm.Print_Area" localSheetId="52">'4102'!$A$2:$J$146</definedName>
    <definedName name="_xlnm.Print_Area" localSheetId="53">'4103'!$A$2:$J$146</definedName>
    <definedName name="_xlnm.Print_Area" localSheetId="54">'4111'!$A$2:$J$146</definedName>
    <definedName name="_xlnm.Print_Area" localSheetId="55">'4131'!$A$2:$J$146</definedName>
    <definedName name="_xlnm.Print_Area" localSheetId="4">Consolidated!$A$2:$I$160</definedName>
    <definedName name="_xlnm.Print_Area" localSheetId="0">'Net Payment'!$A$1:$G$532</definedName>
    <definedName name="_xlnm.Print_Titles" localSheetId="0">'Net Payment'!$1:$4</definedName>
    <definedName name="Program" localSheetId="7">'0100'!$A$10</definedName>
    <definedName name="Program" localSheetId="6">'0571'!$A$10</definedName>
    <definedName name="Program" localSheetId="8">'1461'!$A$10</definedName>
    <definedName name="Program" localSheetId="9">'1571'!$A$10</definedName>
    <definedName name="Program" localSheetId="10">'2521'!$A$10</definedName>
    <definedName name="Program" localSheetId="11">'2531'!$A$10</definedName>
    <definedName name="Program" localSheetId="12">'2791'!$A$10</definedName>
    <definedName name="Program" localSheetId="13">'2801'!$A$10</definedName>
    <definedName name="Program" localSheetId="14">'2911'!$A$10</definedName>
    <definedName name="Program" localSheetId="15">'2941'!$A$10</definedName>
    <definedName name="Program" localSheetId="16">'3083'!$A$10</definedName>
    <definedName name="Program" localSheetId="17">'3345'!$A$10</definedName>
    <definedName name="Program" localSheetId="18">'3362'!$A$10</definedName>
    <definedName name="Program" localSheetId="19">'3381'!$A$10</definedName>
    <definedName name="Program" localSheetId="20">'3382'!$A$10</definedName>
    <definedName name="Program" localSheetId="21">'3391'!$A$10</definedName>
    <definedName name="Program" localSheetId="22">'3394'!$A$10</definedName>
    <definedName name="Program" localSheetId="23">'3395'!$A$10</definedName>
    <definedName name="Program" localSheetId="24">'3396'!$A$10</definedName>
    <definedName name="Program" localSheetId="25">'3398'!$A$10</definedName>
    <definedName name="Program" localSheetId="26">'3400'!$A$10</definedName>
    <definedName name="Program" localSheetId="27">'3401'!$A$10</definedName>
    <definedName name="Program" localSheetId="28">'3413'!$A$10</definedName>
    <definedName name="Program" localSheetId="29">'3421'!$A$10</definedName>
    <definedName name="Program" localSheetId="30">'3431'!$A$10</definedName>
    <definedName name="Program" localSheetId="31">'3441'!$A$10</definedName>
    <definedName name="Program" localSheetId="32">'3924'!$A$10</definedName>
    <definedName name="Program" localSheetId="33">'3941'!$A$10</definedName>
    <definedName name="Program" localSheetId="34">'3961'!$A$10</definedName>
    <definedName name="Program" localSheetId="35">'3971'!$A$10</definedName>
    <definedName name="Program" localSheetId="36">'4001'!$A$10</definedName>
    <definedName name="Program" localSheetId="37">'4002'!$A$10</definedName>
    <definedName name="Program" localSheetId="38">'4012'!$A$10</definedName>
    <definedName name="Program" localSheetId="39">'4013'!$A$10</definedName>
    <definedName name="Program" localSheetId="40">'4020'!$A$10</definedName>
    <definedName name="Program" localSheetId="41">'4030'!$A$10</definedName>
    <definedName name="Program" localSheetId="42">'4031'!$A$10</definedName>
    <definedName name="Program" localSheetId="43">'4041'!$A$10</definedName>
    <definedName name="Program" localSheetId="44">'4050'!$A$10</definedName>
    <definedName name="Program" localSheetId="45">'4051'!$A$10</definedName>
    <definedName name="Program" localSheetId="46">'4061'!$A$10</definedName>
    <definedName name="Program" localSheetId="47">'4080'!$A$10</definedName>
    <definedName name="Program" localSheetId="48">'4081'!$A$10</definedName>
    <definedName name="Program" localSheetId="49">'4090'!$A$10</definedName>
    <definedName name="Program" localSheetId="50">'4091'!$A$10</definedName>
    <definedName name="Program" localSheetId="51">'4100'!$A$10</definedName>
    <definedName name="Program" localSheetId="52">'4102'!$A$10</definedName>
    <definedName name="Program" localSheetId="53">'4103'!$A$10</definedName>
    <definedName name="Program" localSheetId="54">'4111'!$A$10</definedName>
    <definedName name="Program" localSheetId="55">'4131'!$A$10</definedName>
    <definedName name="Program">'0040'!$A$10</definedName>
    <definedName name="Program______________________________Cost_Factor" localSheetId="7">'0100'!$G$10</definedName>
    <definedName name="Program______________________________Cost_Factor" localSheetId="6">'0571'!$G$10</definedName>
    <definedName name="Program______________________________Cost_Factor" localSheetId="8">'1461'!$G$10</definedName>
    <definedName name="Program______________________________Cost_Factor" localSheetId="9">'1571'!$G$10</definedName>
    <definedName name="Program______________________________Cost_Factor" localSheetId="10">'2521'!$G$10</definedName>
    <definedName name="Program______________________________Cost_Factor" localSheetId="11">'2531'!$G$10</definedName>
    <definedName name="Program______________________________Cost_Factor" localSheetId="12">'2791'!$G$10</definedName>
    <definedName name="Program______________________________Cost_Factor" localSheetId="13">'2801'!$G$10</definedName>
    <definedName name="Program______________________________Cost_Factor" localSheetId="14">'2911'!$G$10</definedName>
    <definedName name="Program______________________________Cost_Factor" localSheetId="15">'2941'!$G$10</definedName>
    <definedName name="Program______________________________Cost_Factor" localSheetId="16">'3083'!$G$10</definedName>
    <definedName name="Program______________________________Cost_Factor" localSheetId="17">'3345'!$G$10</definedName>
    <definedName name="Program______________________________Cost_Factor" localSheetId="18">'3362'!$G$10</definedName>
    <definedName name="Program______________________________Cost_Factor" localSheetId="19">'3381'!$G$10</definedName>
    <definedName name="Program______________________________Cost_Factor" localSheetId="20">'3382'!$G$10</definedName>
    <definedName name="Program______________________________Cost_Factor" localSheetId="21">'3391'!$G$10</definedName>
    <definedName name="Program______________________________Cost_Factor" localSheetId="22">'3394'!$G$10</definedName>
    <definedName name="Program______________________________Cost_Factor" localSheetId="23">'3395'!$G$10</definedName>
    <definedName name="Program______________________________Cost_Factor" localSheetId="24">'3396'!$G$10</definedName>
    <definedName name="Program______________________________Cost_Factor" localSheetId="25">'3398'!$G$10</definedName>
    <definedName name="Program______________________________Cost_Factor" localSheetId="26">'3400'!$G$10</definedName>
    <definedName name="Program______________________________Cost_Factor" localSheetId="27">'3401'!$G$10</definedName>
    <definedName name="Program______________________________Cost_Factor" localSheetId="28">'3413'!$G$10</definedName>
    <definedName name="Program______________________________Cost_Factor" localSheetId="29">'3421'!$G$10</definedName>
    <definedName name="Program______________________________Cost_Factor" localSheetId="30">'3431'!$G$10</definedName>
    <definedName name="Program______________________________Cost_Factor" localSheetId="31">'3441'!$G$10</definedName>
    <definedName name="Program______________________________Cost_Factor" localSheetId="32">'3924'!$G$10</definedName>
    <definedName name="Program______________________________Cost_Factor" localSheetId="33">'3941'!$G$10</definedName>
    <definedName name="Program______________________________Cost_Factor" localSheetId="34">'3961'!$G$10</definedName>
    <definedName name="Program______________________________Cost_Factor" localSheetId="35">'3971'!$G$10</definedName>
    <definedName name="Program______________________________Cost_Factor" localSheetId="36">'4001'!$G$10</definedName>
    <definedName name="Program______________________________Cost_Factor" localSheetId="37">'4002'!$G$10</definedName>
    <definedName name="Program______________________________Cost_Factor" localSheetId="38">'4012'!$G$10</definedName>
    <definedName name="Program______________________________Cost_Factor" localSheetId="39">'4013'!$G$10</definedName>
    <definedName name="Program______________________________Cost_Factor" localSheetId="40">'4020'!$G$10</definedName>
    <definedName name="Program______________________________Cost_Factor" localSheetId="41">'4030'!$G$10</definedName>
    <definedName name="Program______________________________Cost_Factor" localSheetId="42">'4031'!$G$10</definedName>
    <definedName name="Program______________________________Cost_Factor" localSheetId="43">'4041'!$G$10</definedName>
    <definedName name="Program______________________________Cost_Factor" localSheetId="44">'4050'!$G$10</definedName>
    <definedName name="Program______________________________Cost_Factor" localSheetId="45">'4051'!$G$10</definedName>
    <definedName name="Program______________________________Cost_Factor" localSheetId="46">'4061'!$G$10</definedName>
    <definedName name="Program______________________________Cost_Factor" localSheetId="47">'4080'!$G$10</definedName>
    <definedName name="Program______________________________Cost_Factor" localSheetId="48">'4081'!$G$10</definedName>
    <definedName name="Program______________________________Cost_Factor" localSheetId="49">'4090'!$G$10</definedName>
    <definedName name="Program______________________________Cost_Factor" localSheetId="50">'4091'!$G$10</definedName>
    <definedName name="Program______________________________Cost_Factor" localSheetId="51">'4100'!$G$10</definedName>
    <definedName name="Program______________________________Cost_Factor" localSheetId="52">'4102'!$G$10</definedName>
    <definedName name="Program______________________________Cost_Factor" localSheetId="53">'4103'!$G$10</definedName>
    <definedName name="Program______________________________Cost_Factor" localSheetId="54">'4111'!$G$10</definedName>
    <definedName name="Program______________________________Cost_Factor" localSheetId="55">'4131'!$G$10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7">'0100'!$A$2</definedName>
    <definedName name="Revenue_Estimate_Worksheet_for___________Charter_School" localSheetId="6">'0571'!$A$2</definedName>
    <definedName name="Revenue_Estimate_Worksheet_for___________Charter_School" localSheetId="8">'1461'!$A$2</definedName>
    <definedName name="Revenue_Estimate_Worksheet_for___________Charter_School" localSheetId="9">'1571'!$A$2</definedName>
    <definedName name="Revenue_Estimate_Worksheet_for___________Charter_School" localSheetId="10">'2521'!$A$2</definedName>
    <definedName name="Revenue_Estimate_Worksheet_for___________Charter_School" localSheetId="11">'2531'!$A$2</definedName>
    <definedName name="Revenue_Estimate_Worksheet_for___________Charter_School" localSheetId="12">'2791'!$A$2</definedName>
    <definedName name="Revenue_Estimate_Worksheet_for___________Charter_School" localSheetId="13">'2801'!$A$2</definedName>
    <definedName name="Revenue_Estimate_Worksheet_for___________Charter_School" localSheetId="14">'2911'!$A$2</definedName>
    <definedName name="Revenue_Estimate_Worksheet_for___________Charter_School" localSheetId="15">'2941'!$A$2</definedName>
    <definedName name="Revenue_Estimate_Worksheet_for___________Charter_School" localSheetId="16">'3083'!$A$2</definedName>
    <definedName name="Revenue_Estimate_Worksheet_for___________Charter_School" localSheetId="17">'3345'!$A$2</definedName>
    <definedName name="Revenue_Estimate_Worksheet_for___________Charter_School" localSheetId="18">'3362'!$A$2</definedName>
    <definedName name="Revenue_Estimate_Worksheet_for___________Charter_School" localSheetId="19">'3381'!$A$2</definedName>
    <definedName name="Revenue_Estimate_Worksheet_for___________Charter_School" localSheetId="20">'3382'!$A$2</definedName>
    <definedName name="Revenue_Estimate_Worksheet_for___________Charter_School" localSheetId="21">'3391'!$A$2</definedName>
    <definedName name="Revenue_Estimate_Worksheet_for___________Charter_School" localSheetId="22">'3394'!$A$2</definedName>
    <definedName name="Revenue_Estimate_Worksheet_for___________Charter_School" localSheetId="23">'3395'!$A$2</definedName>
    <definedName name="Revenue_Estimate_Worksheet_for___________Charter_School" localSheetId="24">'3396'!$A$2</definedName>
    <definedName name="Revenue_Estimate_Worksheet_for___________Charter_School" localSheetId="25">'3398'!$A$2</definedName>
    <definedName name="Revenue_Estimate_Worksheet_for___________Charter_School" localSheetId="26">'3400'!$A$2</definedName>
    <definedName name="Revenue_Estimate_Worksheet_for___________Charter_School" localSheetId="27">'3401'!$A$2</definedName>
    <definedName name="Revenue_Estimate_Worksheet_for___________Charter_School" localSheetId="28">'3413'!$A$2</definedName>
    <definedName name="Revenue_Estimate_Worksheet_for___________Charter_School" localSheetId="29">'3421'!$A$2</definedName>
    <definedName name="Revenue_Estimate_Worksheet_for___________Charter_School" localSheetId="30">'3431'!$A$2</definedName>
    <definedName name="Revenue_Estimate_Worksheet_for___________Charter_School" localSheetId="31">'3441'!$A$2</definedName>
    <definedName name="Revenue_Estimate_Worksheet_for___________Charter_School" localSheetId="32">'3924'!$A$2</definedName>
    <definedName name="Revenue_Estimate_Worksheet_for___________Charter_School" localSheetId="33">'3941'!$A$2</definedName>
    <definedName name="Revenue_Estimate_Worksheet_for___________Charter_School" localSheetId="34">'3961'!$A$2</definedName>
    <definedName name="Revenue_Estimate_Worksheet_for___________Charter_School" localSheetId="35">'3971'!$A$2</definedName>
    <definedName name="Revenue_Estimate_Worksheet_for___________Charter_School" localSheetId="36">'4001'!$A$2</definedName>
    <definedName name="Revenue_Estimate_Worksheet_for___________Charter_School" localSheetId="37">'4002'!$A$2</definedName>
    <definedName name="Revenue_Estimate_Worksheet_for___________Charter_School" localSheetId="38">'4012'!$A$2</definedName>
    <definedName name="Revenue_Estimate_Worksheet_for___________Charter_School" localSheetId="39">'4013'!$A$2</definedName>
    <definedName name="Revenue_Estimate_Worksheet_for___________Charter_School" localSheetId="40">'4020'!$A$2</definedName>
    <definedName name="Revenue_Estimate_Worksheet_for___________Charter_School" localSheetId="41">'4030'!$A$2</definedName>
    <definedName name="Revenue_Estimate_Worksheet_for___________Charter_School" localSheetId="42">'4031'!$A$2</definedName>
    <definedName name="Revenue_Estimate_Worksheet_for___________Charter_School" localSheetId="43">'4041'!$A$2</definedName>
    <definedName name="Revenue_Estimate_Worksheet_for___________Charter_School" localSheetId="44">'4050'!$A$2</definedName>
    <definedName name="Revenue_Estimate_Worksheet_for___________Charter_School" localSheetId="45">'4051'!$A$2</definedName>
    <definedName name="Revenue_Estimate_Worksheet_for___________Charter_School" localSheetId="46">'4061'!$A$2</definedName>
    <definedName name="Revenue_Estimate_Worksheet_for___________Charter_School" localSheetId="47">'4080'!$A$2</definedName>
    <definedName name="Revenue_Estimate_Worksheet_for___________Charter_School" localSheetId="48">'4081'!$A$2</definedName>
    <definedName name="Revenue_Estimate_Worksheet_for___________Charter_School" localSheetId="49">'4090'!$A$2</definedName>
    <definedName name="Revenue_Estimate_Worksheet_for___________Charter_School" localSheetId="50">'4091'!$A$2</definedName>
    <definedName name="Revenue_Estimate_Worksheet_for___________Charter_School" localSheetId="51">'4100'!$A$2</definedName>
    <definedName name="Revenue_Estimate_Worksheet_for___________Charter_School" localSheetId="52">'4102'!$A$2</definedName>
    <definedName name="Revenue_Estimate_Worksheet_for___________Charter_School" localSheetId="53">'4103'!$A$2</definedName>
    <definedName name="Revenue_Estimate_Worksheet_for___________Charter_School" localSheetId="54">'4111'!$A$2</definedName>
    <definedName name="Revenue_Estimate_Worksheet_for___________Charter_School" localSheetId="55">'4131'!$A$2</definedName>
    <definedName name="Revenue_Estimate_Worksheet_for___________Charter_School">'0040'!$A$2</definedName>
    <definedName name="Santa_Rosa">#REF!</definedName>
    <definedName name="Sarasota">#REF!</definedName>
    <definedName name="School_District" localSheetId="7">'0100'!$A$4</definedName>
    <definedName name="School_District" localSheetId="6">'0571'!$A$4</definedName>
    <definedName name="School_District" localSheetId="8">'1461'!$A$4</definedName>
    <definedName name="School_District" localSheetId="9">'1571'!$A$4</definedName>
    <definedName name="School_District" localSheetId="10">'2521'!$A$4</definedName>
    <definedName name="School_District" localSheetId="11">'2531'!$A$4</definedName>
    <definedName name="School_District" localSheetId="12">'2791'!$A$4</definedName>
    <definedName name="School_District" localSheetId="13">'2801'!$A$4</definedName>
    <definedName name="School_District" localSheetId="14">'2911'!$A$4</definedName>
    <definedName name="School_District" localSheetId="15">'2941'!$A$4</definedName>
    <definedName name="School_District" localSheetId="16">'3083'!$A$4</definedName>
    <definedName name="School_District" localSheetId="17">'3345'!$A$4</definedName>
    <definedName name="School_District" localSheetId="18">'3362'!$A$4</definedName>
    <definedName name="School_District" localSheetId="19">'3381'!$A$4</definedName>
    <definedName name="School_District" localSheetId="20">'3382'!$A$4</definedName>
    <definedName name="School_District" localSheetId="21">'3391'!$A$4</definedName>
    <definedName name="School_District" localSheetId="22">'3394'!$A$4</definedName>
    <definedName name="School_District" localSheetId="23">'3395'!$A$4</definedName>
    <definedName name="School_District" localSheetId="24">'3396'!$A$4</definedName>
    <definedName name="School_District" localSheetId="25">'3398'!$A$4</definedName>
    <definedName name="School_District" localSheetId="26">'3400'!$A$4</definedName>
    <definedName name="School_District" localSheetId="27">'3401'!$A$4</definedName>
    <definedName name="School_District" localSheetId="28">'3413'!$A$4</definedName>
    <definedName name="School_District" localSheetId="29">'3421'!$A$4</definedName>
    <definedName name="School_District" localSheetId="30">'3431'!$A$4</definedName>
    <definedName name="School_District" localSheetId="31">'3441'!$A$4</definedName>
    <definedName name="School_District" localSheetId="32">'3924'!$A$4</definedName>
    <definedName name="School_District" localSheetId="33">'3941'!$A$4</definedName>
    <definedName name="School_District" localSheetId="34">'3961'!$A$4</definedName>
    <definedName name="School_District" localSheetId="35">'3971'!$A$4</definedName>
    <definedName name="School_District" localSheetId="36">'4001'!$A$4</definedName>
    <definedName name="School_District" localSheetId="37">'4002'!$A$4</definedName>
    <definedName name="School_District" localSheetId="38">'4012'!$A$4</definedName>
    <definedName name="School_District" localSheetId="39">'4013'!$A$4</definedName>
    <definedName name="School_District" localSheetId="40">'4020'!$A$4</definedName>
    <definedName name="School_District" localSheetId="41">'4030'!$A$4</definedName>
    <definedName name="School_District" localSheetId="42">'4031'!$A$4</definedName>
    <definedName name="School_District" localSheetId="43">'4041'!$A$4</definedName>
    <definedName name="School_District" localSheetId="44">'4050'!$A$4</definedName>
    <definedName name="School_District" localSheetId="45">'4051'!$A$4</definedName>
    <definedName name="School_District" localSheetId="46">'4061'!$A$4</definedName>
    <definedName name="School_District" localSheetId="47">'4080'!$A$4</definedName>
    <definedName name="School_District" localSheetId="48">'4081'!$A$4</definedName>
    <definedName name="School_District" localSheetId="49">'4090'!$A$4</definedName>
    <definedName name="School_District" localSheetId="50">'4091'!$A$4</definedName>
    <definedName name="School_District" localSheetId="51">'4100'!$A$4</definedName>
    <definedName name="School_District" localSheetId="52">'4102'!$A$4</definedName>
    <definedName name="School_District" localSheetId="53">'4103'!$A$4</definedName>
    <definedName name="School_District" localSheetId="54">'4111'!$A$4</definedName>
    <definedName name="School_District" localSheetId="55">'4131'!$A$4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7">'0100'!$A$93</definedName>
    <definedName name="Total" localSheetId="6">'0571'!$A$93</definedName>
    <definedName name="Total" localSheetId="8">'1461'!$A$93</definedName>
    <definedName name="Total" localSheetId="9">'1571'!$A$93</definedName>
    <definedName name="Total" localSheetId="10">'2521'!$A$93</definedName>
    <definedName name="Total" localSheetId="11">'2531'!$A$93</definedName>
    <definedName name="Total" localSheetId="12">'2791'!$A$93</definedName>
    <definedName name="Total" localSheetId="13">'2801'!$A$93</definedName>
    <definedName name="Total" localSheetId="14">'2911'!$A$93</definedName>
    <definedName name="Total" localSheetId="15">'2941'!$A$93</definedName>
    <definedName name="Total" localSheetId="16">'3083'!$A$93</definedName>
    <definedName name="Total" localSheetId="17">'3345'!$A$93</definedName>
    <definedName name="Total" localSheetId="18">'3362'!$A$93</definedName>
    <definedName name="Total" localSheetId="19">'3381'!$A$93</definedName>
    <definedName name="Total" localSheetId="20">'3382'!$A$93</definedName>
    <definedName name="Total" localSheetId="21">'3391'!$A$93</definedName>
    <definedName name="Total" localSheetId="22">'3394'!$A$93</definedName>
    <definedName name="Total" localSheetId="23">'3395'!$A$93</definedName>
    <definedName name="Total" localSheetId="24">'3396'!$A$93</definedName>
    <definedName name="Total" localSheetId="25">'3398'!$A$93</definedName>
    <definedName name="Total" localSheetId="26">'3400'!$A$93</definedName>
    <definedName name="Total" localSheetId="27">'3401'!$A$93</definedName>
    <definedName name="Total" localSheetId="28">'3413'!$A$93</definedName>
    <definedName name="Total" localSheetId="29">'3421'!$A$93</definedName>
    <definedName name="Total" localSheetId="30">'3431'!$A$93</definedName>
    <definedName name="Total" localSheetId="31">'3441'!$A$93</definedName>
    <definedName name="Total" localSheetId="32">'3924'!$A$93</definedName>
    <definedName name="Total" localSheetId="33">'3941'!$A$93</definedName>
    <definedName name="Total" localSheetId="34">'3961'!$A$93</definedName>
    <definedName name="Total" localSheetId="35">'3971'!$A$93</definedName>
    <definedName name="Total" localSheetId="36">'4001'!$A$93</definedName>
    <definedName name="Total" localSheetId="37">'4002'!$A$93</definedName>
    <definedName name="Total" localSheetId="38">'4012'!$A$93</definedName>
    <definedName name="Total" localSheetId="39">'4013'!$A$93</definedName>
    <definedName name="Total" localSheetId="40">'4020'!$A$93</definedName>
    <definedName name="Total" localSheetId="41">'4030'!$A$93</definedName>
    <definedName name="Total" localSheetId="42">'4031'!$A$93</definedName>
    <definedName name="Total" localSheetId="43">'4041'!$A$93</definedName>
    <definedName name="Total" localSheetId="44">'4050'!$A$93</definedName>
    <definedName name="Total" localSheetId="45">'4051'!$A$93</definedName>
    <definedName name="Total" localSheetId="46">'4061'!$A$93</definedName>
    <definedName name="Total" localSheetId="47">'4080'!$A$93</definedName>
    <definedName name="Total" localSheetId="48">'4081'!$A$93</definedName>
    <definedName name="Total" localSheetId="49">'4090'!$A$93</definedName>
    <definedName name="Total" localSheetId="50">'4091'!$A$93</definedName>
    <definedName name="Total" localSheetId="51">'4100'!$A$93</definedName>
    <definedName name="Total" localSheetId="52">'4102'!$A$93</definedName>
    <definedName name="Total" localSheetId="53">'4103'!$A$93</definedName>
    <definedName name="Total" localSheetId="54">'4111'!$A$93</definedName>
    <definedName name="Total" localSheetId="55">'4131'!$A$93</definedName>
    <definedName name="Total">'0040'!$A$93</definedName>
    <definedName name="Total_Class_Size_Reduction_Funds" localSheetId="7">'0100'!$E$93</definedName>
    <definedName name="Total_Class_Size_Reduction_Funds" localSheetId="6">'0571'!$E$93</definedName>
    <definedName name="Total_Class_Size_Reduction_Funds" localSheetId="8">'1461'!$E$93</definedName>
    <definedName name="Total_Class_Size_Reduction_Funds" localSheetId="9">'1571'!$E$93</definedName>
    <definedName name="Total_Class_Size_Reduction_Funds" localSheetId="10">'2521'!$E$93</definedName>
    <definedName name="Total_Class_Size_Reduction_Funds" localSheetId="11">'2531'!$E$93</definedName>
    <definedName name="Total_Class_Size_Reduction_Funds" localSheetId="12">'2791'!$E$93</definedName>
    <definedName name="Total_Class_Size_Reduction_Funds" localSheetId="13">'2801'!$E$93</definedName>
    <definedName name="Total_Class_Size_Reduction_Funds" localSheetId="14">'2911'!$E$93</definedName>
    <definedName name="Total_Class_Size_Reduction_Funds" localSheetId="15">'2941'!$E$93</definedName>
    <definedName name="Total_Class_Size_Reduction_Funds" localSheetId="16">'3083'!$E$93</definedName>
    <definedName name="Total_Class_Size_Reduction_Funds" localSheetId="17">'3345'!$E$93</definedName>
    <definedName name="Total_Class_Size_Reduction_Funds" localSheetId="18">'3362'!$E$93</definedName>
    <definedName name="Total_Class_Size_Reduction_Funds" localSheetId="19">'3381'!$E$93</definedName>
    <definedName name="Total_Class_Size_Reduction_Funds" localSheetId="20">'3382'!$E$93</definedName>
    <definedName name="Total_Class_Size_Reduction_Funds" localSheetId="21">'3391'!$E$93</definedName>
    <definedName name="Total_Class_Size_Reduction_Funds" localSheetId="22">'3394'!$E$93</definedName>
    <definedName name="Total_Class_Size_Reduction_Funds" localSheetId="23">'3395'!$E$93</definedName>
    <definedName name="Total_Class_Size_Reduction_Funds" localSheetId="24">'3396'!$E$93</definedName>
    <definedName name="Total_Class_Size_Reduction_Funds" localSheetId="25">'3398'!$E$93</definedName>
    <definedName name="Total_Class_Size_Reduction_Funds" localSheetId="26">'3400'!$E$93</definedName>
    <definedName name="Total_Class_Size_Reduction_Funds" localSheetId="27">'3401'!$E$93</definedName>
    <definedName name="Total_Class_Size_Reduction_Funds" localSheetId="28">'3413'!$E$93</definedName>
    <definedName name="Total_Class_Size_Reduction_Funds" localSheetId="29">'3421'!$E$93</definedName>
    <definedName name="Total_Class_Size_Reduction_Funds" localSheetId="30">'3431'!$E$93</definedName>
    <definedName name="Total_Class_Size_Reduction_Funds" localSheetId="31">'3441'!$E$93</definedName>
    <definedName name="Total_Class_Size_Reduction_Funds" localSheetId="32">'3924'!$E$93</definedName>
    <definedName name="Total_Class_Size_Reduction_Funds" localSheetId="33">'3941'!$E$93</definedName>
    <definedName name="Total_Class_Size_Reduction_Funds" localSheetId="34">'3961'!$E$93</definedName>
    <definedName name="Total_Class_Size_Reduction_Funds" localSheetId="35">'3971'!$E$93</definedName>
    <definedName name="Total_Class_Size_Reduction_Funds" localSheetId="36">'4001'!$E$93</definedName>
    <definedName name="Total_Class_Size_Reduction_Funds" localSheetId="37">'4002'!$E$93</definedName>
    <definedName name="Total_Class_Size_Reduction_Funds" localSheetId="38">'4012'!$E$93</definedName>
    <definedName name="Total_Class_Size_Reduction_Funds" localSheetId="39">'4013'!$E$93</definedName>
    <definedName name="Total_Class_Size_Reduction_Funds" localSheetId="40">'4020'!$E$93</definedName>
    <definedName name="Total_Class_Size_Reduction_Funds" localSheetId="41">'4030'!$E$93</definedName>
    <definedName name="Total_Class_Size_Reduction_Funds" localSheetId="42">'4031'!$E$93</definedName>
    <definedName name="Total_Class_Size_Reduction_Funds" localSheetId="43">'4041'!$E$93</definedName>
    <definedName name="Total_Class_Size_Reduction_Funds" localSheetId="44">'4050'!$E$93</definedName>
    <definedName name="Total_Class_Size_Reduction_Funds" localSheetId="45">'4051'!$E$93</definedName>
    <definedName name="Total_Class_Size_Reduction_Funds" localSheetId="46">'4061'!$E$93</definedName>
    <definedName name="Total_Class_Size_Reduction_Funds" localSheetId="47">'4080'!$E$93</definedName>
    <definedName name="Total_Class_Size_Reduction_Funds" localSheetId="48">'4081'!$E$93</definedName>
    <definedName name="Total_Class_Size_Reduction_Funds" localSheetId="49">'4090'!$E$93</definedName>
    <definedName name="Total_Class_Size_Reduction_Funds" localSheetId="50">'4091'!$E$93</definedName>
    <definedName name="Total_Class_Size_Reduction_Funds" localSheetId="51">'4100'!$E$93</definedName>
    <definedName name="Total_Class_Size_Reduction_Funds" localSheetId="52">'4102'!$E$93</definedName>
    <definedName name="Total_Class_Size_Reduction_Funds" localSheetId="53">'4103'!$E$93</definedName>
    <definedName name="Total_Class_Size_Reduction_Funds" localSheetId="54">'4111'!$E$93</definedName>
    <definedName name="Total_Class_Size_Reduction_Funds" localSheetId="55">'4131'!$E$93</definedName>
    <definedName name="Total_Class_Size_Reduction_Funds">'0040'!$E$93</definedName>
    <definedName name="Total_from_ESE_Guarantee" localSheetId="7">'0100'!#REF!</definedName>
    <definedName name="Total_from_ESE_Guarantee" localSheetId="6">'0571'!#REF!</definedName>
    <definedName name="Total_from_ESE_Guarantee" localSheetId="8">'1461'!#REF!</definedName>
    <definedName name="Total_from_ESE_Guarantee" localSheetId="9">'1571'!#REF!</definedName>
    <definedName name="Total_from_ESE_Guarantee" localSheetId="10">'2521'!#REF!</definedName>
    <definedName name="Total_from_ESE_Guarantee" localSheetId="11">'2531'!#REF!</definedName>
    <definedName name="Total_from_ESE_Guarantee" localSheetId="12">'2791'!#REF!</definedName>
    <definedName name="Total_from_ESE_Guarantee" localSheetId="13">'2801'!#REF!</definedName>
    <definedName name="Total_from_ESE_Guarantee" localSheetId="14">'2911'!#REF!</definedName>
    <definedName name="Total_from_ESE_Guarantee" localSheetId="15">'2941'!#REF!</definedName>
    <definedName name="Total_from_ESE_Guarantee" localSheetId="16">'3083'!#REF!</definedName>
    <definedName name="Total_from_ESE_Guarantee" localSheetId="17">'3345'!#REF!</definedName>
    <definedName name="Total_from_ESE_Guarantee" localSheetId="18">'3362'!#REF!</definedName>
    <definedName name="Total_from_ESE_Guarantee" localSheetId="19">'3381'!#REF!</definedName>
    <definedName name="Total_from_ESE_Guarantee" localSheetId="20">'3382'!#REF!</definedName>
    <definedName name="Total_from_ESE_Guarantee" localSheetId="21">'3391'!#REF!</definedName>
    <definedName name="Total_from_ESE_Guarantee" localSheetId="22">'3394'!#REF!</definedName>
    <definedName name="Total_from_ESE_Guarantee" localSheetId="23">'3395'!#REF!</definedName>
    <definedName name="Total_from_ESE_Guarantee" localSheetId="24">'3396'!#REF!</definedName>
    <definedName name="Total_from_ESE_Guarantee" localSheetId="25">'3398'!#REF!</definedName>
    <definedName name="Total_from_ESE_Guarantee" localSheetId="26">'3400'!#REF!</definedName>
    <definedName name="Total_from_ESE_Guarantee" localSheetId="27">'3401'!#REF!</definedName>
    <definedName name="Total_from_ESE_Guarantee" localSheetId="28">'3413'!#REF!</definedName>
    <definedName name="Total_from_ESE_Guarantee" localSheetId="29">'3421'!#REF!</definedName>
    <definedName name="Total_from_ESE_Guarantee" localSheetId="30">'3431'!#REF!</definedName>
    <definedName name="Total_from_ESE_Guarantee" localSheetId="31">'3441'!#REF!</definedName>
    <definedName name="Total_from_ESE_Guarantee" localSheetId="32">'3924'!#REF!</definedName>
    <definedName name="Total_from_ESE_Guarantee" localSheetId="33">'3941'!#REF!</definedName>
    <definedName name="Total_from_ESE_Guarantee" localSheetId="34">'3961'!#REF!</definedName>
    <definedName name="Total_from_ESE_Guarantee" localSheetId="35">'3971'!#REF!</definedName>
    <definedName name="Total_from_ESE_Guarantee" localSheetId="36">'4001'!#REF!</definedName>
    <definedName name="Total_from_ESE_Guarantee" localSheetId="37">'4002'!#REF!</definedName>
    <definedName name="Total_from_ESE_Guarantee" localSheetId="38">'4012'!#REF!</definedName>
    <definedName name="Total_from_ESE_Guarantee" localSheetId="39">'4013'!#REF!</definedName>
    <definedName name="Total_from_ESE_Guarantee" localSheetId="40">'4020'!#REF!</definedName>
    <definedName name="Total_from_ESE_Guarantee" localSheetId="41">'4030'!#REF!</definedName>
    <definedName name="Total_from_ESE_Guarantee" localSheetId="42">'4031'!#REF!</definedName>
    <definedName name="Total_from_ESE_Guarantee" localSheetId="43">'4041'!#REF!</definedName>
    <definedName name="Total_from_ESE_Guarantee" localSheetId="44">'4050'!#REF!</definedName>
    <definedName name="Total_from_ESE_Guarantee" localSheetId="45">'4051'!#REF!</definedName>
    <definedName name="Total_from_ESE_Guarantee" localSheetId="46">'4061'!#REF!</definedName>
    <definedName name="Total_from_ESE_Guarantee" localSheetId="47">'4080'!#REF!</definedName>
    <definedName name="Total_from_ESE_Guarantee" localSheetId="48">'4081'!#REF!</definedName>
    <definedName name="Total_from_ESE_Guarantee" localSheetId="49">'4090'!#REF!</definedName>
    <definedName name="Total_from_ESE_Guarantee" localSheetId="50">'4091'!#REF!</definedName>
    <definedName name="Total_from_ESE_Guarantee" localSheetId="51">'4100'!#REF!</definedName>
    <definedName name="Total_from_ESE_Guarantee" localSheetId="52">'4102'!#REF!</definedName>
    <definedName name="Total_from_ESE_Guarantee" localSheetId="53">'4103'!#REF!</definedName>
    <definedName name="Total_from_ESE_Guarantee" localSheetId="54">'4111'!#REF!</definedName>
    <definedName name="Total_from_ESE_Guarantee" localSheetId="55">'4131'!#REF!</definedName>
    <definedName name="Total_from_ESE_Guarantee">'0040'!#REF!</definedName>
    <definedName name="Total_FTE_with_ESE_Services" localSheetId="7">'0100'!#REF!</definedName>
    <definedName name="Total_FTE_with_ESE_Services" localSheetId="6">'0571'!#REF!</definedName>
    <definedName name="Total_FTE_with_ESE_Services" localSheetId="8">'1461'!#REF!</definedName>
    <definedName name="Total_FTE_with_ESE_Services" localSheetId="9">'1571'!#REF!</definedName>
    <definedName name="Total_FTE_with_ESE_Services" localSheetId="10">'2521'!#REF!</definedName>
    <definedName name="Total_FTE_with_ESE_Services" localSheetId="11">'2531'!#REF!</definedName>
    <definedName name="Total_FTE_with_ESE_Services" localSheetId="12">'2791'!#REF!</definedName>
    <definedName name="Total_FTE_with_ESE_Services" localSheetId="13">'2801'!#REF!</definedName>
    <definedName name="Total_FTE_with_ESE_Services" localSheetId="14">'2911'!#REF!</definedName>
    <definedName name="Total_FTE_with_ESE_Services" localSheetId="15">'2941'!#REF!</definedName>
    <definedName name="Total_FTE_with_ESE_Services" localSheetId="16">'3083'!#REF!</definedName>
    <definedName name="Total_FTE_with_ESE_Services" localSheetId="17">'3345'!#REF!</definedName>
    <definedName name="Total_FTE_with_ESE_Services" localSheetId="18">'3362'!#REF!</definedName>
    <definedName name="Total_FTE_with_ESE_Services" localSheetId="19">'3381'!#REF!</definedName>
    <definedName name="Total_FTE_with_ESE_Services" localSheetId="20">'3382'!#REF!</definedName>
    <definedName name="Total_FTE_with_ESE_Services" localSheetId="21">'3391'!#REF!</definedName>
    <definedName name="Total_FTE_with_ESE_Services" localSheetId="22">'3394'!#REF!</definedName>
    <definedName name="Total_FTE_with_ESE_Services" localSheetId="23">'3395'!#REF!</definedName>
    <definedName name="Total_FTE_with_ESE_Services" localSheetId="24">'3396'!#REF!</definedName>
    <definedName name="Total_FTE_with_ESE_Services" localSheetId="25">'3398'!#REF!</definedName>
    <definedName name="Total_FTE_with_ESE_Services" localSheetId="26">'3400'!#REF!</definedName>
    <definedName name="Total_FTE_with_ESE_Services" localSheetId="27">'3401'!#REF!</definedName>
    <definedName name="Total_FTE_with_ESE_Services" localSheetId="28">'3413'!#REF!</definedName>
    <definedName name="Total_FTE_with_ESE_Services" localSheetId="29">'3421'!#REF!</definedName>
    <definedName name="Total_FTE_with_ESE_Services" localSheetId="30">'3431'!#REF!</definedName>
    <definedName name="Total_FTE_with_ESE_Services" localSheetId="31">'3441'!#REF!</definedName>
    <definedName name="Total_FTE_with_ESE_Services" localSheetId="32">'3924'!#REF!</definedName>
    <definedName name="Total_FTE_with_ESE_Services" localSheetId="33">'3941'!#REF!</definedName>
    <definedName name="Total_FTE_with_ESE_Services" localSheetId="34">'3961'!#REF!</definedName>
    <definedName name="Total_FTE_with_ESE_Services" localSheetId="35">'3971'!#REF!</definedName>
    <definedName name="Total_FTE_with_ESE_Services" localSheetId="36">'4001'!#REF!</definedName>
    <definedName name="Total_FTE_with_ESE_Services" localSheetId="37">'4002'!#REF!</definedName>
    <definedName name="Total_FTE_with_ESE_Services" localSheetId="38">'4012'!#REF!</definedName>
    <definedName name="Total_FTE_with_ESE_Services" localSheetId="39">'4013'!#REF!</definedName>
    <definedName name="Total_FTE_with_ESE_Services" localSheetId="40">'4020'!#REF!</definedName>
    <definedName name="Total_FTE_with_ESE_Services" localSheetId="41">'4030'!#REF!</definedName>
    <definedName name="Total_FTE_with_ESE_Services" localSheetId="42">'4031'!#REF!</definedName>
    <definedName name="Total_FTE_with_ESE_Services" localSheetId="43">'4041'!#REF!</definedName>
    <definedName name="Total_FTE_with_ESE_Services" localSheetId="44">'4050'!#REF!</definedName>
    <definedName name="Total_FTE_with_ESE_Services" localSheetId="45">'4051'!#REF!</definedName>
    <definedName name="Total_FTE_with_ESE_Services" localSheetId="46">'4061'!#REF!</definedName>
    <definedName name="Total_FTE_with_ESE_Services" localSheetId="47">'4080'!#REF!</definedName>
    <definedName name="Total_FTE_with_ESE_Services" localSheetId="48">'4081'!#REF!</definedName>
    <definedName name="Total_FTE_with_ESE_Services" localSheetId="49">'4090'!#REF!</definedName>
    <definedName name="Total_FTE_with_ESE_Services" localSheetId="50">'4091'!#REF!</definedName>
    <definedName name="Total_FTE_with_ESE_Services" localSheetId="51">'4100'!#REF!</definedName>
    <definedName name="Total_FTE_with_ESE_Services" localSheetId="52">'4102'!#REF!</definedName>
    <definedName name="Total_FTE_with_ESE_Services" localSheetId="53">'4103'!#REF!</definedName>
    <definedName name="Total_FTE_with_ESE_Services" localSheetId="54">'4111'!#REF!</definedName>
    <definedName name="Total_FTE_with_ESE_Services" localSheetId="55">'4131'!#REF!</definedName>
    <definedName name="Total_FTE_with_ESE_Services">'0040'!#REF!</definedName>
    <definedName name="Total_Instructional_Materials_Allocation">'[1]Detail 2025-26 FEFP Second'!#REF!</definedName>
    <definedName name="Totals" localSheetId="7">'0100'!$A$28</definedName>
    <definedName name="Totals" localSheetId="6">'0571'!$A$28</definedName>
    <definedName name="Totals" localSheetId="8">'1461'!$A$28</definedName>
    <definedName name="Totals" localSheetId="9">'1571'!$A$28</definedName>
    <definedName name="Totals" localSheetId="10">'2521'!$A$28</definedName>
    <definedName name="Totals" localSheetId="11">'2531'!$A$28</definedName>
    <definedName name="Totals" localSheetId="12">'2791'!$A$28</definedName>
    <definedName name="Totals" localSheetId="13">'2801'!$A$28</definedName>
    <definedName name="Totals" localSheetId="14">'2911'!$A$28</definedName>
    <definedName name="Totals" localSheetId="15">'2941'!$A$28</definedName>
    <definedName name="Totals" localSheetId="16">'3083'!$A$28</definedName>
    <definedName name="Totals" localSheetId="17">'3345'!$A$28</definedName>
    <definedName name="Totals" localSheetId="18">'3362'!$A$28</definedName>
    <definedName name="Totals" localSheetId="19">'3381'!$A$28</definedName>
    <definedName name="Totals" localSheetId="20">'3382'!$A$28</definedName>
    <definedName name="Totals" localSheetId="21">'3391'!$A$28</definedName>
    <definedName name="Totals" localSheetId="22">'3394'!$A$28</definedName>
    <definedName name="Totals" localSheetId="23">'3395'!$A$28</definedName>
    <definedName name="Totals" localSheetId="24">'3396'!$A$28</definedName>
    <definedName name="Totals" localSheetId="25">'3398'!$A$28</definedName>
    <definedName name="Totals" localSheetId="26">'3400'!$A$28</definedName>
    <definedName name="Totals" localSheetId="27">'3401'!$A$28</definedName>
    <definedName name="Totals" localSheetId="28">'3413'!$A$28</definedName>
    <definedName name="Totals" localSheetId="29">'3421'!$A$28</definedName>
    <definedName name="Totals" localSheetId="30">'3431'!$A$28</definedName>
    <definedName name="Totals" localSheetId="31">'3441'!$A$28</definedName>
    <definedName name="Totals" localSheetId="32">'3924'!$A$28</definedName>
    <definedName name="Totals" localSheetId="33">'3941'!$A$28</definedName>
    <definedName name="Totals" localSheetId="34">'3961'!$A$28</definedName>
    <definedName name="Totals" localSheetId="35">'3971'!$A$28</definedName>
    <definedName name="Totals" localSheetId="36">'4001'!$A$28</definedName>
    <definedName name="Totals" localSheetId="37">'4002'!$A$28</definedName>
    <definedName name="Totals" localSheetId="38">'4012'!$A$28</definedName>
    <definedName name="Totals" localSheetId="39">'4013'!$A$28</definedName>
    <definedName name="Totals" localSheetId="40">'4020'!$A$28</definedName>
    <definedName name="Totals" localSheetId="41">'4030'!$A$28</definedName>
    <definedName name="Totals" localSheetId="42">'4031'!$A$28</definedName>
    <definedName name="Totals" localSheetId="43">'4041'!$A$28</definedName>
    <definedName name="Totals" localSheetId="44">'4050'!$A$28</definedName>
    <definedName name="Totals" localSheetId="45">'4051'!$A$28</definedName>
    <definedName name="Totals" localSheetId="46">'4061'!$A$28</definedName>
    <definedName name="Totals" localSheetId="47">'4080'!$A$28</definedName>
    <definedName name="Totals" localSheetId="48">'4081'!$A$28</definedName>
    <definedName name="Totals" localSheetId="49">'4090'!$A$28</definedName>
    <definedName name="Totals" localSheetId="50">'4091'!$A$28</definedName>
    <definedName name="Totals" localSheetId="51">'4100'!$A$28</definedName>
    <definedName name="Totals" localSheetId="52">'4102'!$A$28</definedName>
    <definedName name="Totals" localSheetId="53">'4103'!$A$28</definedName>
    <definedName name="Totals" localSheetId="54">'4111'!$A$28</definedName>
    <definedName name="Totals" localSheetId="55">'4131'!$A$28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7">'0100'!$I$10</definedName>
    <definedName name="Weighted_FTE____________b__x__c" localSheetId="6">'0571'!$I$10</definedName>
    <definedName name="Weighted_FTE____________b__x__c" localSheetId="8">'1461'!$I$10</definedName>
    <definedName name="Weighted_FTE____________b__x__c" localSheetId="9">'1571'!$I$10</definedName>
    <definedName name="Weighted_FTE____________b__x__c" localSheetId="10">'2521'!$I$10</definedName>
    <definedName name="Weighted_FTE____________b__x__c" localSheetId="11">'2531'!$I$10</definedName>
    <definedName name="Weighted_FTE____________b__x__c" localSheetId="12">'2791'!$I$10</definedName>
    <definedName name="Weighted_FTE____________b__x__c" localSheetId="13">'2801'!$I$10</definedName>
    <definedName name="Weighted_FTE____________b__x__c" localSheetId="14">'2911'!$I$10</definedName>
    <definedName name="Weighted_FTE____________b__x__c" localSheetId="15">'2941'!$I$10</definedName>
    <definedName name="Weighted_FTE____________b__x__c" localSheetId="16">'3083'!$I$10</definedName>
    <definedName name="Weighted_FTE____________b__x__c" localSheetId="17">'3345'!$I$10</definedName>
    <definedName name="Weighted_FTE____________b__x__c" localSheetId="18">'3362'!$I$10</definedName>
    <definedName name="Weighted_FTE____________b__x__c" localSheetId="19">'3381'!$I$10</definedName>
    <definedName name="Weighted_FTE____________b__x__c" localSheetId="20">'3382'!$I$10</definedName>
    <definedName name="Weighted_FTE____________b__x__c" localSheetId="21">'3391'!$I$10</definedName>
    <definedName name="Weighted_FTE____________b__x__c" localSheetId="22">'3394'!$I$10</definedName>
    <definedName name="Weighted_FTE____________b__x__c" localSheetId="23">'3395'!$I$10</definedName>
    <definedName name="Weighted_FTE____________b__x__c" localSheetId="24">'3396'!$I$10</definedName>
    <definedName name="Weighted_FTE____________b__x__c" localSheetId="25">'3398'!$I$10</definedName>
    <definedName name="Weighted_FTE____________b__x__c" localSheetId="26">'3400'!$I$10</definedName>
    <definedName name="Weighted_FTE____________b__x__c" localSheetId="27">'3401'!$I$10</definedName>
    <definedName name="Weighted_FTE____________b__x__c" localSheetId="28">'3413'!$I$10</definedName>
    <definedName name="Weighted_FTE____________b__x__c" localSheetId="29">'3421'!$I$10</definedName>
    <definedName name="Weighted_FTE____________b__x__c" localSheetId="30">'3431'!$I$10</definedName>
    <definedName name="Weighted_FTE____________b__x__c" localSheetId="31">'3441'!$I$10</definedName>
    <definedName name="Weighted_FTE____________b__x__c" localSheetId="32">'3924'!$I$10</definedName>
    <definedName name="Weighted_FTE____________b__x__c" localSheetId="33">'3941'!$I$10</definedName>
    <definedName name="Weighted_FTE____________b__x__c" localSheetId="34">'3961'!$I$10</definedName>
    <definedName name="Weighted_FTE____________b__x__c" localSheetId="35">'3971'!$I$10</definedName>
    <definedName name="Weighted_FTE____________b__x__c" localSheetId="36">'4001'!$I$10</definedName>
    <definedName name="Weighted_FTE____________b__x__c" localSheetId="37">'4002'!$I$10</definedName>
    <definedName name="Weighted_FTE____________b__x__c" localSheetId="38">'4012'!$I$10</definedName>
    <definedName name="Weighted_FTE____________b__x__c" localSheetId="39">'4013'!$I$10</definedName>
    <definedName name="Weighted_FTE____________b__x__c" localSheetId="40">'4020'!$I$10</definedName>
    <definedName name="Weighted_FTE____________b__x__c" localSheetId="41">'4030'!$I$10</definedName>
    <definedName name="Weighted_FTE____________b__x__c" localSheetId="42">'4031'!$I$10</definedName>
    <definedName name="Weighted_FTE____________b__x__c" localSheetId="43">'4041'!$I$10</definedName>
    <definedName name="Weighted_FTE____________b__x__c" localSheetId="44">'4050'!$I$10</definedName>
    <definedName name="Weighted_FTE____________b__x__c" localSheetId="45">'4051'!$I$10</definedName>
    <definedName name="Weighted_FTE____________b__x__c" localSheetId="46">'4061'!$I$10</definedName>
    <definedName name="Weighted_FTE____________b__x__c" localSheetId="47">'4080'!$I$10</definedName>
    <definedName name="Weighted_FTE____________b__x__c" localSheetId="48">'4081'!$I$10</definedName>
    <definedName name="Weighted_FTE____________b__x__c" localSheetId="49">'4090'!$I$10</definedName>
    <definedName name="Weighted_FTE____________b__x__c" localSheetId="50">'4091'!$I$10</definedName>
    <definedName name="Weighted_FTE____________b__x__c" localSheetId="51">'4100'!$I$10</definedName>
    <definedName name="Weighted_FTE____________b__x__c" localSheetId="52">'4102'!$I$10</definedName>
    <definedName name="Weighted_FTE____________b__x__c" localSheetId="53">'4103'!$I$10</definedName>
    <definedName name="Weighted_FTE____________b__x__c" localSheetId="54">'4111'!$I$10</definedName>
    <definedName name="Weighted_FTE____________b__x__c" localSheetId="55">'4131'!$I$10</definedName>
    <definedName name="Weighted_FTE____________b__x__c">'0040'!$I$10</definedName>
    <definedName name="Weighted_FTE__From_Section_1" localSheetId="7">'0100'!$B$89</definedName>
    <definedName name="Weighted_FTE__From_Section_1" localSheetId="6">'0571'!$B$89</definedName>
    <definedName name="Weighted_FTE__From_Section_1" localSheetId="8">'1461'!$B$89</definedName>
    <definedName name="Weighted_FTE__From_Section_1" localSheetId="9">'1571'!$B$89</definedName>
    <definedName name="Weighted_FTE__From_Section_1" localSheetId="10">'2521'!$B$89</definedName>
    <definedName name="Weighted_FTE__From_Section_1" localSheetId="11">'2531'!$B$89</definedName>
    <definedName name="Weighted_FTE__From_Section_1" localSheetId="12">'2791'!$B$89</definedName>
    <definedName name="Weighted_FTE__From_Section_1" localSheetId="13">'2801'!$B$89</definedName>
    <definedName name="Weighted_FTE__From_Section_1" localSheetId="14">'2911'!$B$89</definedName>
    <definedName name="Weighted_FTE__From_Section_1" localSheetId="15">'2941'!$B$89</definedName>
    <definedName name="Weighted_FTE__From_Section_1" localSheetId="16">'3083'!$B$89</definedName>
    <definedName name="Weighted_FTE__From_Section_1" localSheetId="17">'3345'!$B$89</definedName>
    <definedName name="Weighted_FTE__From_Section_1" localSheetId="18">'3362'!$B$89</definedName>
    <definedName name="Weighted_FTE__From_Section_1" localSheetId="19">'3381'!$B$89</definedName>
    <definedName name="Weighted_FTE__From_Section_1" localSheetId="20">'3382'!$B$89</definedName>
    <definedName name="Weighted_FTE__From_Section_1" localSheetId="21">'3391'!$B$89</definedName>
    <definedName name="Weighted_FTE__From_Section_1" localSheetId="22">'3394'!$B$89</definedName>
    <definedName name="Weighted_FTE__From_Section_1" localSheetId="23">'3395'!$B$89</definedName>
    <definedName name="Weighted_FTE__From_Section_1" localSheetId="24">'3396'!$B$89</definedName>
    <definedName name="Weighted_FTE__From_Section_1" localSheetId="25">'3398'!$B$89</definedName>
    <definedName name="Weighted_FTE__From_Section_1" localSheetId="26">'3400'!$B$89</definedName>
    <definedName name="Weighted_FTE__From_Section_1" localSheetId="27">'3401'!$B$89</definedName>
    <definedName name="Weighted_FTE__From_Section_1" localSheetId="28">'3413'!$B$89</definedName>
    <definedName name="Weighted_FTE__From_Section_1" localSheetId="29">'3421'!$B$89</definedName>
    <definedName name="Weighted_FTE__From_Section_1" localSheetId="30">'3431'!$B$89</definedName>
    <definedName name="Weighted_FTE__From_Section_1" localSheetId="31">'3441'!$B$89</definedName>
    <definedName name="Weighted_FTE__From_Section_1" localSheetId="32">'3924'!$B$89</definedName>
    <definedName name="Weighted_FTE__From_Section_1" localSheetId="33">'3941'!$B$89</definedName>
    <definedName name="Weighted_FTE__From_Section_1" localSheetId="34">'3961'!$B$89</definedName>
    <definedName name="Weighted_FTE__From_Section_1" localSheetId="35">'3971'!$B$89</definedName>
    <definedName name="Weighted_FTE__From_Section_1" localSheetId="36">'4001'!$B$89</definedName>
    <definedName name="Weighted_FTE__From_Section_1" localSheetId="37">'4002'!$B$89</definedName>
    <definedName name="Weighted_FTE__From_Section_1" localSheetId="38">'4012'!$B$89</definedName>
    <definedName name="Weighted_FTE__From_Section_1" localSheetId="39">'4013'!$B$89</definedName>
    <definedName name="Weighted_FTE__From_Section_1" localSheetId="40">'4020'!$B$89</definedName>
    <definedName name="Weighted_FTE__From_Section_1" localSheetId="41">'4030'!$B$89</definedName>
    <definedName name="Weighted_FTE__From_Section_1" localSheetId="42">'4031'!$B$89</definedName>
    <definedName name="Weighted_FTE__From_Section_1" localSheetId="43">'4041'!$B$89</definedName>
    <definedName name="Weighted_FTE__From_Section_1" localSheetId="44">'4050'!$B$89</definedName>
    <definedName name="Weighted_FTE__From_Section_1" localSheetId="45">'4051'!$B$89</definedName>
    <definedName name="Weighted_FTE__From_Section_1" localSheetId="46">'4061'!$B$89</definedName>
    <definedName name="Weighted_FTE__From_Section_1" localSheetId="47">'4080'!$B$89</definedName>
    <definedName name="Weighted_FTE__From_Section_1" localSheetId="48">'4081'!$B$89</definedName>
    <definedName name="Weighted_FTE__From_Section_1" localSheetId="49">'4090'!$B$89</definedName>
    <definedName name="Weighted_FTE__From_Section_1" localSheetId="50">'4091'!$B$89</definedName>
    <definedName name="Weighted_FTE__From_Section_1" localSheetId="51">'4100'!$B$89</definedName>
    <definedName name="Weighted_FTE__From_Section_1" localSheetId="52">'4102'!$B$89</definedName>
    <definedName name="Weighted_FTE__From_Section_1" localSheetId="53">'4103'!$B$89</definedName>
    <definedName name="Weighted_FTE__From_Section_1" localSheetId="54">'4111'!$B$89</definedName>
    <definedName name="Weighted_FTE__From_Section_1" localSheetId="55">'4131'!$B$89</definedName>
    <definedName name="Weighted_FTE__From_Section_1">'0040'!$B$89</definedName>
    <definedName name="wrn.Base._.Data._.Comparison." localSheetId="5"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61" i="57" l="1"/>
  <c r="J62" i="57"/>
  <c r="J63" i="57"/>
  <c r="J60" i="57"/>
  <c r="K57" i="57"/>
  <c r="V33" i="101"/>
  <c r="T31" i="101"/>
  <c r="V32" i="101" s="1"/>
  <c r="T52" i="98"/>
  <c r="T55" i="98"/>
  <c r="T55" i="100"/>
  <c r="G14" i="106"/>
  <c r="T97" i="62" l="1"/>
  <c r="E98" i="62"/>
  <c r="E98" i="67"/>
  <c r="E98" i="66"/>
  <c r="T97" i="68"/>
  <c r="T97" i="67"/>
  <c r="T97" i="66"/>
  <c r="R122" i="57"/>
  <c r="R121" i="57"/>
  <c r="R120" i="57"/>
  <c r="R119" i="57"/>
  <c r="R118"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5" i="57"/>
  <c r="R84" i="57"/>
  <c r="R83" i="57"/>
  <c r="R82" i="57"/>
  <c r="R81" i="57"/>
  <c r="R80" i="57"/>
  <c r="R79" i="57"/>
  <c r="R78" i="57"/>
  <c r="R77" i="57"/>
  <c r="R76" i="57"/>
  <c r="R75" i="57"/>
  <c r="R74" i="57"/>
  <c r="R73" i="57"/>
  <c r="R72" i="57"/>
  <c r="Q72" i="57"/>
  <c r="F479" i="106" l="1"/>
  <c r="E58" i="54"/>
  <c r="D58" i="54"/>
  <c r="Y37" i="101"/>
  <c r="Y36" i="101"/>
  <c r="Y37" i="76" l="1"/>
  <c r="Y36" i="76"/>
  <c r="Y37" i="68"/>
  <c r="Y36" i="68"/>
  <c r="Y37" i="67"/>
  <c r="Y36" i="67"/>
  <c r="Y37" i="66"/>
  <c r="Y36" i="66"/>
  <c r="Y37" i="63"/>
  <c r="Y36" i="63"/>
  <c r="Y37" i="62"/>
  <c r="Y36" i="62"/>
  <c r="Y37" i="61"/>
  <c r="Y36" i="61"/>
  <c r="Y37" i="58"/>
  <c r="Y36" i="58"/>
  <c r="T50" i="2" l="1"/>
  <c r="J57" i="57"/>
  <c r="J122" i="58" l="1"/>
  <c r="J118" i="2" l="1"/>
  <c r="Q5" i="57"/>
  <c r="F487" i="106"/>
  <c r="E97" i="64" l="1"/>
  <c r="E97" i="60"/>
  <c r="E97" i="59"/>
  <c r="E97" i="2"/>
  <c r="T55" i="107" l="1"/>
  <c r="V33" i="2"/>
  <c r="G32" i="2"/>
  <c r="G33" i="2" s="1"/>
  <c r="C56" i="2" s="1"/>
  <c r="J118" i="108"/>
  <c r="Q85" i="57"/>
  <c r="I57" i="57" l="1"/>
  <c r="H118" i="57" l="1"/>
  <c r="Q18" i="57"/>
  <c r="H57" i="57"/>
  <c r="Q73" i="57" l="1"/>
  <c r="J118" i="107" s="1"/>
  <c r="H126" i="57"/>
  <c r="J122" i="60" l="1"/>
  <c r="G57" i="57" l="1"/>
  <c r="Z35" i="54" l="1"/>
  <c r="Z48" i="54"/>
  <c r="Z22" i="54"/>
  <c r="T55" i="105"/>
  <c r="T55" i="104"/>
  <c r="T55" i="103"/>
  <c r="T55" i="102"/>
  <c r="T55" i="99"/>
  <c r="T55" i="96"/>
  <c r="T55" i="95"/>
  <c r="T55" i="94"/>
  <c r="T55" i="93"/>
  <c r="T55" i="92"/>
  <c r="T55" i="91"/>
  <c r="T55" i="90"/>
  <c r="T55" i="89"/>
  <c r="T55" i="88"/>
  <c r="T55" i="87"/>
  <c r="T55" i="71"/>
  <c r="V86" i="85"/>
  <c r="T55" i="85"/>
  <c r="T55" i="84"/>
  <c r="T55" i="83"/>
  <c r="T55" i="82"/>
  <c r="T55" i="80"/>
  <c r="T55" i="79"/>
  <c r="T55" i="78"/>
  <c r="T55" i="77"/>
  <c r="T12" i="77"/>
  <c r="T55" i="75"/>
  <c r="T55" i="74"/>
  <c r="T55" i="72"/>
  <c r="T55" i="73"/>
  <c r="T55" i="70"/>
  <c r="T55" i="69"/>
  <c r="T55" i="65"/>
  <c r="T55" i="64"/>
  <c r="R57" i="57" l="1"/>
  <c r="G126" i="57"/>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H4" i="58"/>
  <c r="J122" i="107"/>
  <c r="H4" i="107"/>
  <c r="V19" i="54"/>
  <c r="U19" i="54"/>
  <c r="D141" i="106"/>
  <c r="D8" i="106"/>
  <c r="O7" i="54" a="1"/>
  <c r="O7" i="54" s="1"/>
  <c r="V7" i="54"/>
  <c r="U7" i="54"/>
  <c r="X103" i="108"/>
  <c r="I103" i="108"/>
  <c r="X102" i="108"/>
  <c r="X104" i="108" s="1"/>
  <c r="Y104" i="108" s="1"/>
  <c r="V102" i="108"/>
  <c r="V103" i="108" s="1"/>
  <c r="I102" i="108"/>
  <c r="I104" i="108" s="1"/>
  <c r="J104" i="108" s="1"/>
  <c r="G102" i="108"/>
  <c r="G103" i="108" s="1"/>
  <c r="I98" i="108"/>
  <c r="J98" i="108" s="1"/>
  <c r="E98" i="108"/>
  <c r="T97" i="108"/>
  <c r="I97" i="108"/>
  <c r="J97" i="108" s="1"/>
  <c r="E97" i="108"/>
  <c r="T96" i="108"/>
  <c r="T92" i="108"/>
  <c r="G92" i="108"/>
  <c r="V92" i="108" s="1"/>
  <c r="T91" i="108"/>
  <c r="G91" i="108"/>
  <c r="V91" i="108" s="1"/>
  <c r="T90" i="108"/>
  <c r="G90" i="108"/>
  <c r="V90" i="108" s="1"/>
  <c r="G85" i="108"/>
  <c r="V85" i="108" s="1"/>
  <c r="G84" i="108"/>
  <c r="V83" i="108" s="1"/>
  <c r="J82" i="108"/>
  <c r="I84" i="108" s="1"/>
  <c r="J81" i="108"/>
  <c r="Y80" i="108"/>
  <c r="G72" i="108"/>
  <c r="V71" i="108" s="1"/>
  <c r="G71" i="108"/>
  <c r="V70" i="108" s="1"/>
  <c r="G70" i="108"/>
  <c r="G68" i="108"/>
  <c r="V67" i="108" s="1"/>
  <c r="I65" i="108"/>
  <c r="X64" i="108" s="1"/>
  <c r="I62" i="108"/>
  <c r="X61" i="108" s="1"/>
  <c r="I59" i="108"/>
  <c r="X58" i="108" s="1"/>
  <c r="I56" i="108"/>
  <c r="X55" i="108" s="1"/>
  <c r="I53" i="108"/>
  <c r="X52" i="108" s="1"/>
  <c r="T50" i="108"/>
  <c r="D50" i="108"/>
  <c r="C50" i="108"/>
  <c r="I49" i="108"/>
  <c r="X49" i="108" s="1"/>
  <c r="Y49" i="108" s="1"/>
  <c r="E49" i="108"/>
  <c r="I48" i="108"/>
  <c r="X48" i="108" s="1"/>
  <c r="Y48" i="108" s="1"/>
  <c r="E48" i="108"/>
  <c r="I47" i="108"/>
  <c r="X47" i="108" s="1"/>
  <c r="Y47" i="108" s="1"/>
  <c r="E47" i="108"/>
  <c r="I46" i="108"/>
  <c r="J46" i="108" s="1"/>
  <c r="E46" i="108"/>
  <c r="I45" i="108"/>
  <c r="X45" i="108" s="1"/>
  <c r="Y45" i="108" s="1"/>
  <c r="E45" i="108"/>
  <c r="I44" i="108"/>
  <c r="X44" i="108" s="1"/>
  <c r="Y44" i="108" s="1"/>
  <c r="E44" i="108"/>
  <c r="I43" i="108"/>
  <c r="X43" i="108" s="1"/>
  <c r="Y43" i="108" s="1"/>
  <c r="E43" i="108"/>
  <c r="I42" i="108"/>
  <c r="J42" i="108" s="1"/>
  <c r="E42" i="108"/>
  <c r="I41" i="108"/>
  <c r="X41" i="108" s="1"/>
  <c r="Y41" i="108" s="1"/>
  <c r="E41" i="108"/>
  <c r="Y37" i="108"/>
  <c r="J37" i="108"/>
  <c r="Y36" i="108"/>
  <c r="Y38" i="108" s="1"/>
  <c r="J36" i="108"/>
  <c r="J38" i="108" s="1"/>
  <c r="G32" i="108"/>
  <c r="T31" i="108"/>
  <c r="V32" i="108" s="1"/>
  <c r="D28" i="108"/>
  <c r="E23" i="108" s="1"/>
  <c r="C28" i="108"/>
  <c r="E27" i="108"/>
  <c r="I27" i="108" s="1"/>
  <c r="E24" i="108"/>
  <c r="I24" i="108" s="1"/>
  <c r="E22" i="108"/>
  <c r="T22" i="108" s="1"/>
  <c r="X22" i="108" s="1"/>
  <c r="E21" i="108"/>
  <c r="T21" i="108" s="1"/>
  <c r="X21" i="108" s="1"/>
  <c r="E20" i="108"/>
  <c r="I20" i="108" s="1"/>
  <c r="E19" i="108"/>
  <c r="T19" i="108" s="1"/>
  <c r="X19" i="108" s="1"/>
  <c r="E18" i="108"/>
  <c r="T18" i="108" s="1"/>
  <c r="X18" i="108" s="1"/>
  <c r="E17" i="108"/>
  <c r="I17" i="108" s="1"/>
  <c r="E14" i="108"/>
  <c r="I14" i="108" s="1"/>
  <c r="E12" i="108"/>
  <c r="T12" i="108" s="1"/>
  <c r="I7" i="108"/>
  <c r="T6" i="108"/>
  <c r="I6" i="108"/>
  <c r="R2" i="108"/>
  <c r="X103" i="107"/>
  <c r="I103" i="107"/>
  <c r="I102" i="107"/>
  <c r="G102" i="107"/>
  <c r="G103" i="107" s="1"/>
  <c r="I98" i="107"/>
  <c r="X97" i="107" s="1"/>
  <c r="Y97" i="107" s="1"/>
  <c r="E98" i="107"/>
  <c r="T97" i="107"/>
  <c r="I97" i="107"/>
  <c r="J97" i="107" s="1"/>
  <c r="E97" i="107"/>
  <c r="T96" i="107"/>
  <c r="T92" i="107"/>
  <c r="G92" i="107"/>
  <c r="V92" i="107" s="1"/>
  <c r="T91" i="107"/>
  <c r="G91" i="107"/>
  <c r="V91" i="107" s="1"/>
  <c r="T90" i="107"/>
  <c r="G90" i="107"/>
  <c r="V90" i="107" s="1"/>
  <c r="V87" i="107"/>
  <c r="V86" i="107"/>
  <c r="G85" i="107"/>
  <c r="V85" i="107" s="1"/>
  <c r="G84" i="107"/>
  <c r="V83" i="107" s="1"/>
  <c r="J82" i="107"/>
  <c r="Y81" i="107" s="1"/>
  <c r="X83" i="107" s="1"/>
  <c r="J81" i="107"/>
  <c r="Y80" i="107"/>
  <c r="G72" i="107"/>
  <c r="V71" i="107" s="1"/>
  <c r="G71" i="107"/>
  <c r="G70" i="107"/>
  <c r="V69" i="107" s="1"/>
  <c r="G68" i="107"/>
  <c r="V67" i="107" s="1"/>
  <c r="I65" i="107"/>
  <c r="X64" i="107" s="1"/>
  <c r="I62" i="107"/>
  <c r="X61" i="107" s="1"/>
  <c r="I59" i="107"/>
  <c r="X58" i="107" s="1"/>
  <c r="I56" i="107"/>
  <c r="X55" i="107" s="1"/>
  <c r="I53" i="107"/>
  <c r="X52" i="107" s="1"/>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82" i="59"/>
  <c r="J31" i="108" l="1"/>
  <c r="Y31" i="108" s="1"/>
  <c r="Y32" i="108" s="1"/>
  <c r="X97" i="108"/>
  <c r="Y97" i="108" s="1"/>
  <c r="X46" i="108"/>
  <c r="Y46" i="108" s="1"/>
  <c r="J49" i="107"/>
  <c r="X96" i="107"/>
  <c r="J47" i="107"/>
  <c r="X96" i="108"/>
  <c r="J41" i="107"/>
  <c r="J45" i="107"/>
  <c r="J44" i="108"/>
  <c r="J48" i="107"/>
  <c r="J48" i="108"/>
  <c r="J47" i="108"/>
  <c r="J41" i="108"/>
  <c r="Y19" i="108"/>
  <c r="X42" i="108"/>
  <c r="Y42" i="108" s="1"/>
  <c r="J20" i="108"/>
  <c r="J43" i="108"/>
  <c r="J102" i="108"/>
  <c r="J43" i="107"/>
  <c r="J44" i="107"/>
  <c r="D90" i="108"/>
  <c r="Y22" i="108"/>
  <c r="J27" i="108"/>
  <c r="J45" i="108"/>
  <c r="J49" i="108"/>
  <c r="J46" i="107"/>
  <c r="Y18" i="108"/>
  <c r="Y21" i="108"/>
  <c r="D92" i="107"/>
  <c r="J17" i="108"/>
  <c r="J24" i="108"/>
  <c r="J42" i="107"/>
  <c r="I84" i="107"/>
  <c r="J84" i="107" s="1"/>
  <c r="J102" i="107"/>
  <c r="D92" i="108"/>
  <c r="E50" i="108"/>
  <c r="Y96" i="108"/>
  <c r="Y96" i="107"/>
  <c r="E15" i="107"/>
  <c r="E17" i="107"/>
  <c r="T17" i="107" s="1"/>
  <c r="X17" i="107" s="1"/>
  <c r="Y17" i="107" s="1"/>
  <c r="E21" i="107"/>
  <c r="I21" i="107" s="1"/>
  <c r="J21" i="107" s="1"/>
  <c r="X12" i="108"/>
  <c r="J84" i="108"/>
  <c r="J14" i="108"/>
  <c r="I23" i="108"/>
  <c r="J23" i="108" s="1"/>
  <c r="T23" i="108"/>
  <c r="X23" i="108" s="1"/>
  <c r="Y23" i="108" s="1"/>
  <c r="Y103" i="108"/>
  <c r="Y102" i="108"/>
  <c r="J103" i="108"/>
  <c r="V69" i="108"/>
  <c r="Y81" i="108"/>
  <c r="X83" i="108" s="1"/>
  <c r="Y83" i="108" s="1"/>
  <c r="T14" i="108"/>
  <c r="X14" i="108" s="1"/>
  <c r="I21" i="108"/>
  <c r="J21" i="108" s="1"/>
  <c r="T24" i="108"/>
  <c r="X24" i="108" s="1"/>
  <c r="Y24" i="108" s="1"/>
  <c r="I18" i="108"/>
  <c r="J18" i="108" s="1"/>
  <c r="E15" i="108"/>
  <c r="E25" i="108"/>
  <c r="V87" i="108"/>
  <c r="T17" i="108"/>
  <c r="X17" i="108" s="1"/>
  <c r="Y17" i="108" s="1"/>
  <c r="T27" i="108"/>
  <c r="X27" i="108" s="1"/>
  <c r="Y27" i="108" s="1"/>
  <c r="I12" i="108"/>
  <c r="I22" i="108"/>
  <c r="J22" i="108" s="1"/>
  <c r="I19" i="108"/>
  <c r="J19"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Y103" i="107" s="1"/>
  <c r="I17" i="107"/>
  <c r="J17" i="107" s="1"/>
  <c r="J103" i="107"/>
  <c r="E20" i="107"/>
  <c r="E50" i="107"/>
  <c r="E25" i="107"/>
  <c r="E14" i="107"/>
  <c r="J38" i="107"/>
  <c r="J98" i="107"/>
  <c r="T15" i="107"/>
  <c r="X15" i="107" s="1"/>
  <c r="Y15" i="107" s="1"/>
  <c r="I15" i="107"/>
  <c r="J15" i="107" s="1"/>
  <c r="V70" i="107"/>
  <c r="I104" i="107"/>
  <c r="J104" i="107" s="1"/>
  <c r="J31" i="107"/>
  <c r="D91" i="107"/>
  <c r="Y38" i="107"/>
  <c r="E19" i="107"/>
  <c r="E23" i="107"/>
  <c r="E13" i="107"/>
  <c r="E26" i="107"/>
  <c r="E16" i="107"/>
  <c r="E22" i="107"/>
  <c r="E12" i="107"/>
  <c r="E18" i="107"/>
  <c r="E27" i="107"/>
  <c r="Y50" i="108" l="1"/>
  <c r="J32" i="108"/>
  <c r="J105" i="107"/>
  <c r="J50" i="108"/>
  <c r="J50" i="107"/>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69" i="106"/>
  <c r="D460" i="106"/>
  <c r="D450" i="106"/>
  <c r="D442" i="106"/>
  <c r="D433" i="106"/>
  <c r="D423" i="106"/>
  <c r="D413" i="106"/>
  <c r="D404" i="106"/>
  <c r="G397" i="106"/>
  <c r="D397" i="106"/>
  <c r="D388" i="106"/>
  <c r="D379" i="106"/>
  <c r="D372" i="106"/>
  <c r="D361" i="106"/>
  <c r="D351" i="106"/>
  <c r="D341" i="106"/>
  <c r="D332" i="106"/>
  <c r="D323" i="106"/>
  <c r="D315" i="106"/>
  <c r="D305" i="106"/>
  <c r="D296" i="106"/>
  <c r="D288" i="106"/>
  <c r="D280" i="106"/>
  <c r="D270" i="106"/>
  <c r="D260" i="106"/>
  <c r="D251" i="106"/>
  <c r="D241" i="106"/>
  <c r="D230" i="106"/>
  <c r="D222" i="106"/>
  <c r="D211" i="106"/>
  <c r="D203" i="106"/>
  <c r="D196" i="106"/>
  <c r="D188" i="106"/>
  <c r="D179" i="106"/>
  <c r="D169" i="106"/>
  <c r="D160" i="106"/>
  <c r="D151" i="106"/>
  <c r="A196" i="106"/>
  <c r="A203" i="106" s="1"/>
  <c r="A211" i="106" s="1"/>
  <c r="A222" i="106" s="1"/>
  <c r="A230" i="106" s="1"/>
  <c r="A241" i="106" s="1"/>
  <c r="A251" i="106" s="1"/>
  <c r="A260" i="106" s="1"/>
  <c r="A270" i="106" s="1"/>
  <c r="A280" i="106" s="1"/>
  <c r="A288" i="106" s="1"/>
  <c r="A296" i="106" s="1"/>
  <c r="A305" i="106" s="1"/>
  <c r="A315" i="106" s="1"/>
  <c r="A323" i="106" s="1"/>
  <c r="A332" i="106" s="1"/>
  <c r="A341" i="106" s="1"/>
  <c r="A351" i="106" s="1"/>
  <c r="A361" i="106" s="1"/>
  <c r="A372" i="106" s="1"/>
  <c r="A379" i="106" s="1"/>
  <c r="A388" i="106" s="1"/>
  <c r="A397" i="106" s="1"/>
  <c r="A404" i="106" s="1"/>
  <c r="A413" i="106" s="1"/>
  <c r="A423" i="106" s="1"/>
  <c r="A433" i="106" s="1"/>
  <c r="A442" i="106" s="1"/>
  <c r="A450" i="106" s="1"/>
  <c r="A460" i="106" s="1"/>
  <c r="A469" i="106" s="1"/>
  <c r="D142" i="106"/>
  <c r="D134" i="106"/>
  <c r="D126" i="106"/>
  <c r="D117" i="106"/>
  <c r="D106" i="106"/>
  <c r="D96" i="106"/>
  <c r="D88" i="106"/>
  <c r="D76" i="106"/>
  <c r="D69" i="106"/>
  <c r="L58" i="106"/>
  <c r="D53" i="106"/>
  <c r="A53" i="106"/>
  <c r="A69" i="106" s="1"/>
  <c r="A76" i="106" s="1"/>
  <c r="A88" i="106" s="1"/>
  <c r="A96" i="106" s="1"/>
  <c r="A106" i="106" s="1"/>
  <c r="A117" i="106" s="1"/>
  <c r="A126" i="106" s="1"/>
  <c r="A134" i="106" s="1"/>
  <c r="D10" i="106"/>
  <c r="F499" i="106" l="1"/>
  <c r="G499" i="106" s="1"/>
  <c r="C62" i="108"/>
  <c r="I63" i="108" s="1"/>
  <c r="I68" i="108" s="1"/>
  <c r="J68" i="108" s="1"/>
  <c r="O19" i="54" a="1"/>
  <c r="O19" i="54" s="1"/>
  <c r="C53" i="108"/>
  <c r="I54" i="108" s="1"/>
  <c r="I70" i="108" s="1"/>
  <c r="J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I57" i="107" s="1"/>
  <c r="B90" i="107"/>
  <c r="X12" i="107"/>
  <c r="T28" i="107"/>
  <c r="S91" i="107"/>
  <c r="X91" i="107" s="1"/>
  <c r="Y14" i="107"/>
  <c r="B91" i="107"/>
  <c r="I91" i="107" s="1"/>
  <c r="J14" i="107"/>
  <c r="J16" i="107"/>
  <c r="B92" i="107"/>
  <c r="I92" i="107" s="1"/>
  <c r="F507" i="106"/>
  <c r="G507" i="106" s="1"/>
  <c r="F491" i="106"/>
  <c r="G491" i="106" s="1"/>
  <c r="F493" i="106"/>
  <c r="G493" i="106" s="1"/>
  <c r="F503" i="106"/>
  <c r="G503" i="106" s="1"/>
  <c r="F505" i="106"/>
  <c r="G505" i="106" s="1"/>
  <c r="G487" i="106"/>
  <c r="F488" i="106"/>
  <c r="G488" i="106" s="1"/>
  <c r="F490" i="106"/>
  <c r="G490" i="106" s="1"/>
  <c r="F492" i="106"/>
  <c r="G492" i="106" s="1"/>
  <c r="F494" i="106"/>
  <c r="G494" i="106" s="1"/>
  <c r="F496" i="106"/>
  <c r="G496" i="106" s="1"/>
  <c r="F498" i="106"/>
  <c r="G498" i="106" s="1"/>
  <c r="F500" i="106"/>
  <c r="G500" i="106" s="1"/>
  <c r="F502" i="106"/>
  <c r="G502" i="106" s="1"/>
  <c r="F504" i="106"/>
  <c r="G504" i="106" s="1"/>
  <c r="F506" i="106"/>
  <c r="G506" i="106" s="1"/>
  <c r="F508" i="106"/>
  <c r="G508" i="106" s="1"/>
  <c r="F489" i="106"/>
  <c r="G489" i="106" s="1"/>
  <c r="F495" i="106"/>
  <c r="G495" i="106" s="1"/>
  <c r="F497" i="106"/>
  <c r="G497" i="106" s="1"/>
  <c r="F501" i="106"/>
  <c r="G501" i="106" s="1"/>
  <c r="J28" i="107" l="1"/>
  <c r="J33" i="107" s="1"/>
  <c r="J28" i="108"/>
  <c r="J33" i="108" s="1"/>
  <c r="I87" i="108"/>
  <c r="J87" i="108" s="1"/>
  <c r="C56" i="108"/>
  <c r="T55" i="108" s="1"/>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X56" i="107" s="1"/>
  <c r="X85" i="107" s="1"/>
  <c r="Y12" i="107"/>
  <c r="Y28" i="107" s="1"/>
  <c r="Y33" i="107" s="1"/>
  <c r="S90" i="107"/>
  <c r="B93" i="107"/>
  <c r="I90" i="107"/>
  <c r="J93" i="107" s="1"/>
  <c r="I86" i="107"/>
  <c r="J86" i="107" s="1"/>
  <c r="I85" i="107"/>
  <c r="J85" i="107" s="1"/>
  <c r="I87" i="107"/>
  <c r="J87" i="107" s="1"/>
  <c r="I70" i="107"/>
  <c r="J70" i="107" s="1"/>
  <c r="F510" i="106"/>
  <c r="F512" i="106" s="1"/>
  <c r="I57" i="108" l="1"/>
  <c r="J107" i="107"/>
  <c r="I7" i="54" s="1"/>
  <c r="Q7" i="54" s="1"/>
  <c r="X90" i="108"/>
  <c r="Y93" i="108" s="1"/>
  <c r="S93" i="108"/>
  <c r="X86" i="108"/>
  <c r="Y86" i="108" s="1"/>
  <c r="Y85" i="108"/>
  <c r="X87" i="108"/>
  <c r="Y87" i="108" s="1"/>
  <c r="X69" i="108"/>
  <c r="Y69" i="108" s="1"/>
  <c r="X90" i="107"/>
  <c r="Y93" i="107" s="1"/>
  <c r="S93" i="107"/>
  <c r="X86" i="107"/>
  <c r="Y86" i="107" s="1"/>
  <c r="Y85" i="107"/>
  <c r="X69" i="107"/>
  <c r="Y69" i="107" s="1"/>
  <c r="X87" i="107"/>
  <c r="Y87" i="107" s="1"/>
  <c r="D57" i="57"/>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Y107" i="108" l="1"/>
  <c r="Y109" i="108" s="1"/>
  <c r="J111" i="108" s="1"/>
  <c r="I85" i="108"/>
  <c r="J85" i="108" s="1"/>
  <c r="I86" i="108"/>
  <c r="J86" i="108" s="1"/>
  <c r="Y107" i="107"/>
  <c r="Y109" i="107" s="1"/>
  <c r="J111" i="107" s="1"/>
  <c r="J109" i="107"/>
  <c r="J7" i="54" s="1"/>
  <c r="J103" i="56"/>
  <c r="I106" i="56" s="1"/>
  <c r="C30" i="56"/>
  <c r="C32" i="56" s="1"/>
  <c r="I114" i="107" l="1"/>
  <c r="J114" i="107" s="1"/>
  <c r="J116" i="107" s="1"/>
  <c r="J107" i="108"/>
  <c r="J118" i="105"/>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X103" i="105"/>
  <c r="I103" i="105"/>
  <c r="V102" i="105"/>
  <c r="V103" i="105" s="1"/>
  <c r="I102" i="105"/>
  <c r="I104" i="105" s="1"/>
  <c r="J104" i="105" s="1"/>
  <c r="G102" i="105"/>
  <c r="G103" i="105" s="1"/>
  <c r="I98" i="105"/>
  <c r="X97" i="105" s="1"/>
  <c r="E98" i="105"/>
  <c r="T97" i="105"/>
  <c r="I97" i="105"/>
  <c r="X96" i="105" s="1"/>
  <c r="Y96" i="105" s="1"/>
  <c r="E97" i="105"/>
  <c r="T96" i="105"/>
  <c r="T92" i="105"/>
  <c r="G92" i="105"/>
  <c r="V92" i="105" s="1"/>
  <c r="T91" i="105"/>
  <c r="G91" i="105"/>
  <c r="V91" i="105" s="1"/>
  <c r="T90" i="105"/>
  <c r="G90" i="105"/>
  <c r="V90" i="105" s="1"/>
  <c r="V87" i="105"/>
  <c r="G85" i="105"/>
  <c r="V85" i="105" s="1"/>
  <c r="G84" i="105"/>
  <c r="V83" i="105" s="1"/>
  <c r="J82" i="105"/>
  <c r="Y81" i="105" s="1"/>
  <c r="X83" i="105" s="1"/>
  <c r="Y80" i="105"/>
  <c r="G72" i="105"/>
  <c r="V71" i="105" s="1"/>
  <c r="G71" i="105"/>
  <c r="V70" i="105" s="1"/>
  <c r="G70" i="105"/>
  <c r="V69" i="105" s="1"/>
  <c r="G68" i="105"/>
  <c r="V67" i="105" s="1"/>
  <c r="I65" i="105"/>
  <c r="X64" i="105" s="1"/>
  <c r="I62" i="105"/>
  <c r="X61" i="105" s="1"/>
  <c r="I59" i="105"/>
  <c r="X58" i="105" s="1"/>
  <c r="I56" i="105"/>
  <c r="X55" i="105" s="1"/>
  <c r="I53" i="105"/>
  <c r="X52" i="105" s="1"/>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I98" i="104"/>
  <c r="X97" i="104" s="1"/>
  <c r="E98" i="104"/>
  <c r="T97" i="104"/>
  <c r="I97" i="104"/>
  <c r="X96" i="104" s="1"/>
  <c r="E97" i="104"/>
  <c r="T96" i="104"/>
  <c r="T92" i="104"/>
  <c r="G92" i="104"/>
  <c r="V92" i="104" s="1"/>
  <c r="T91" i="104"/>
  <c r="G91" i="104"/>
  <c r="V91" i="104" s="1"/>
  <c r="T90" i="104"/>
  <c r="G90" i="104"/>
  <c r="V90" i="104" s="1"/>
  <c r="V86" i="104"/>
  <c r="G85" i="104"/>
  <c r="G84" i="104"/>
  <c r="V83" i="104" s="1"/>
  <c r="J82" i="104"/>
  <c r="Y81" i="104" s="1"/>
  <c r="Y80" i="104"/>
  <c r="G72" i="104"/>
  <c r="G71" i="104"/>
  <c r="V70" i="104" s="1"/>
  <c r="G70" i="104"/>
  <c r="G68" i="104"/>
  <c r="V67" i="104" s="1"/>
  <c r="I65" i="104"/>
  <c r="X64" i="104" s="1"/>
  <c r="I62" i="104"/>
  <c r="X61" i="104" s="1"/>
  <c r="I59" i="104"/>
  <c r="X58" i="104" s="1"/>
  <c r="I56" i="104"/>
  <c r="X55" i="104" s="1"/>
  <c r="I53" i="104"/>
  <c r="X52" i="104" s="1"/>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E21" i="104"/>
  <c r="I21" i="104" s="1"/>
  <c r="T20" i="104"/>
  <c r="X20" i="104" s="1"/>
  <c r="E20" i="104"/>
  <c r="I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I98" i="103"/>
  <c r="J98" i="103" s="1"/>
  <c r="E98" i="103"/>
  <c r="T97" i="103"/>
  <c r="I97" i="103"/>
  <c r="J97" i="103" s="1"/>
  <c r="E97" i="103"/>
  <c r="T96" i="103"/>
  <c r="T92" i="103"/>
  <c r="G92" i="103"/>
  <c r="V92" i="103" s="1"/>
  <c r="T91" i="103"/>
  <c r="G91" i="103"/>
  <c r="V91" i="103" s="1"/>
  <c r="T90" i="103"/>
  <c r="G90" i="103"/>
  <c r="V90" i="103" s="1"/>
  <c r="V87" i="103"/>
  <c r="G85" i="103"/>
  <c r="V85" i="103" s="1"/>
  <c r="G84" i="103"/>
  <c r="V83" i="103" s="1"/>
  <c r="J82" i="103"/>
  <c r="Y81" i="103" s="1"/>
  <c r="X83" i="103" s="1"/>
  <c r="Y80" i="103"/>
  <c r="G72" i="103"/>
  <c r="V71" i="103" s="1"/>
  <c r="G71" i="103"/>
  <c r="V70" i="103" s="1"/>
  <c r="G70" i="103"/>
  <c r="V69" i="103" s="1"/>
  <c r="G68" i="103"/>
  <c r="V67" i="103" s="1"/>
  <c r="I65" i="103"/>
  <c r="X64" i="103" s="1"/>
  <c r="I62" i="103"/>
  <c r="X61" i="103" s="1"/>
  <c r="I59" i="103"/>
  <c r="X58" i="103" s="1"/>
  <c r="I56" i="103"/>
  <c r="X55" i="103" s="1"/>
  <c r="I53" i="103"/>
  <c r="X52" i="103" s="1"/>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E27" i="103"/>
  <c r="I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E14" i="103"/>
  <c r="I14" i="103" s="1"/>
  <c r="T13" i="103"/>
  <c r="T12" i="103"/>
  <c r="X12" i="103" s="1"/>
  <c r="E12" i="103"/>
  <c r="I12" i="103" s="1"/>
  <c r="I7" i="103"/>
  <c r="T6" i="103"/>
  <c r="I6" i="103"/>
  <c r="R2" i="103"/>
  <c r="X103" i="102"/>
  <c r="I103" i="102"/>
  <c r="X102" i="102"/>
  <c r="I102" i="102"/>
  <c r="G102" i="102"/>
  <c r="G103" i="102" s="1"/>
  <c r="I98" i="102"/>
  <c r="J98" i="102" s="1"/>
  <c r="E98" i="102"/>
  <c r="T97" i="102"/>
  <c r="I97" i="102"/>
  <c r="X96" i="102" s="1"/>
  <c r="E97" i="102"/>
  <c r="T96" i="102"/>
  <c r="T92" i="102"/>
  <c r="G92" i="102"/>
  <c r="V92" i="102" s="1"/>
  <c r="T91" i="102"/>
  <c r="G91" i="102"/>
  <c r="V91" i="102" s="1"/>
  <c r="T90" i="102"/>
  <c r="G90" i="102"/>
  <c r="V90" i="102" s="1"/>
  <c r="V86" i="102"/>
  <c r="G85" i="102"/>
  <c r="V85" i="102" s="1"/>
  <c r="G84" i="102"/>
  <c r="V83" i="102" s="1"/>
  <c r="J82" i="102"/>
  <c r="Y81" i="102" s="1"/>
  <c r="X83" i="102" s="1"/>
  <c r="J81" i="102"/>
  <c r="Y80" i="102"/>
  <c r="G72" i="102"/>
  <c r="G71" i="102"/>
  <c r="V70" i="102" s="1"/>
  <c r="G70" i="102"/>
  <c r="V69" i="102" s="1"/>
  <c r="G68" i="102"/>
  <c r="V67" i="102" s="1"/>
  <c r="I65" i="102"/>
  <c r="X64" i="102" s="1"/>
  <c r="I62" i="102"/>
  <c r="X61" i="102" s="1"/>
  <c r="I59" i="102"/>
  <c r="X58" i="102" s="1"/>
  <c r="I56" i="102"/>
  <c r="X55" i="102" s="1"/>
  <c r="I53" i="102"/>
  <c r="X52" i="102" s="1"/>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E27" i="102"/>
  <c r="I27" i="102" s="1"/>
  <c r="E24" i="102"/>
  <c r="I24" i="102" s="1"/>
  <c r="T23" i="102"/>
  <c r="X23" i="102" s="1"/>
  <c r="I7" i="102"/>
  <c r="T6" i="102"/>
  <c r="I6" i="102"/>
  <c r="D90" i="102" s="1"/>
  <c r="R2" i="102"/>
  <c r="X103" i="101"/>
  <c r="I103" i="101"/>
  <c r="V102" i="101"/>
  <c r="V103" i="101" s="1"/>
  <c r="I102" i="101"/>
  <c r="G102" i="101"/>
  <c r="G103" i="101" s="1"/>
  <c r="I98" i="101"/>
  <c r="X97" i="101" s="1"/>
  <c r="E98" i="101"/>
  <c r="T97" i="101"/>
  <c r="I97" i="101"/>
  <c r="X96" i="101" s="1"/>
  <c r="E97" i="101"/>
  <c r="T96" i="101"/>
  <c r="T92" i="101"/>
  <c r="G92" i="101"/>
  <c r="V92" i="101" s="1"/>
  <c r="T91" i="101"/>
  <c r="G91" i="101"/>
  <c r="V91" i="101" s="1"/>
  <c r="T90" i="101"/>
  <c r="G90" i="101"/>
  <c r="V90" i="101" s="1"/>
  <c r="V87" i="101"/>
  <c r="V86" i="101"/>
  <c r="G85" i="101"/>
  <c r="G84" i="101"/>
  <c r="V83" i="101" s="1"/>
  <c r="J82" i="101"/>
  <c r="Y81" i="101" s="1"/>
  <c r="J81" i="101"/>
  <c r="Y80" i="101"/>
  <c r="G72" i="101"/>
  <c r="V71" i="101" s="1"/>
  <c r="G71" i="101"/>
  <c r="V70" i="101" s="1"/>
  <c r="G70" i="101"/>
  <c r="G68" i="101"/>
  <c r="V67" i="101" s="1"/>
  <c r="I65" i="101"/>
  <c r="X64" i="101" s="1"/>
  <c r="I62" i="101"/>
  <c r="X61" i="101" s="1"/>
  <c r="I59" i="101"/>
  <c r="X58" i="101" s="1"/>
  <c r="I56" i="101"/>
  <c r="X55" i="101" s="1"/>
  <c r="I53" i="101"/>
  <c r="X52" i="101" s="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J37" i="101"/>
  <c r="J36" i="101"/>
  <c r="J38" i="101" s="1"/>
  <c r="G32" i="101"/>
  <c r="D28" i="101"/>
  <c r="E23" i="101" s="1"/>
  <c r="I23" i="101" s="1"/>
  <c r="C28" i="101"/>
  <c r="I7" i="101"/>
  <c r="T6" i="101"/>
  <c r="I6" i="101"/>
  <c r="D92" i="101" s="1"/>
  <c r="R2" i="101"/>
  <c r="X103" i="100"/>
  <c r="I103" i="100"/>
  <c r="X102" i="100"/>
  <c r="I102" i="100"/>
  <c r="I104" i="100" s="1"/>
  <c r="J104" i="100" s="1"/>
  <c r="G102" i="100"/>
  <c r="G103" i="100" s="1"/>
  <c r="I98" i="100"/>
  <c r="X97" i="100" s="1"/>
  <c r="E98" i="100"/>
  <c r="T97" i="100"/>
  <c r="I97" i="100"/>
  <c r="X96" i="100" s="1"/>
  <c r="E97" i="100"/>
  <c r="T96" i="100"/>
  <c r="T92" i="100"/>
  <c r="G92" i="100"/>
  <c r="V92" i="100" s="1"/>
  <c r="T91" i="100"/>
  <c r="G91" i="100"/>
  <c r="V91" i="100" s="1"/>
  <c r="T90" i="100"/>
  <c r="G90" i="100"/>
  <c r="V90" i="100" s="1"/>
  <c r="V87" i="100"/>
  <c r="V86" i="100"/>
  <c r="G85" i="100"/>
  <c r="V85" i="100" s="1"/>
  <c r="G84" i="100"/>
  <c r="V83" i="100" s="1"/>
  <c r="J82" i="100"/>
  <c r="Y81" i="100" s="1"/>
  <c r="J81" i="100"/>
  <c r="Y80" i="100"/>
  <c r="G72" i="100"/>
  <c r="G71" i="100"/>
  <c r="V70" i="100" s="1"/>
  <c r="G70" i="100"/>
  <c r="V69" i="100" s="1"/>
  <c r="G68" i="100"/>
  <c r="V67" i="100" s="1"/>
  <c r="I65" i="100"/>
  <c r="X64" i="100" s="1"/>
  <c r="I62" i="100"/>
  <c r="X61" i="100" s="1"/>
  <c r="I59" i="100"/>
  <c r="X58" i="100" s="1"/>
  <c r="I56" i="100"/>
  <c r="X55" i="100" s="1"/>
  <c r="I53" i="100"/>
  <c r="X52" i="100" s="1"/>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E27" i="100"/>
  <c r="I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I98" i="99"/>
  <c r="X97" i="99" s="1"/>
  <c r="E98" i="99"/>
  <c r="T97" i="99"/>
  <c r="I97" i="99"/>
  <c r="X96" i="99" s="1"/>
  <c r="E97" i="99"/>
  <c r="T96" i="99"/>
  <c r="T92" i="99"/>
  <c r="G92" i="99"/>
  <c r="V92" i="99" s="1"/>
  <c r="T91" i="99"/>
  <c r="G91" i="99"/>
  <c r="V91" i="99" s="1"/>
  <c r="T90" i="99"/>
  <c r="G90" i="99"/>
  <c r="V90" i="99" s="1"/>
  <c r="V86" i="99"/>
  <c r="G85" i="99"/>
  <c r="G84" i="99"/>
  <c r="V83" i="99" s="1"/>
  <c r="J82" i="99"/>
  <c r="Y81" i="99" s="1"/>
  <c r="J81" i="99"/>
  <c r="Y80" i="99"/>
  <c r="G72" i="99"/>
  <c r="G71" i="99"/>
  <c r="V70" i="99" s="1"/>
  <c r="G70" i="99"/>
  <c r="V69" i="99" s="1"/>
  <c r="G68" i="99"/>
  <c r="V67" i="99" s="1"/>
  <c r="I65" i="99"/>
  <c r="X64" i="99" s="1"/>
  <c r="I62" i="99"/>
  <c r="X61" i="99" s="1"/>
  <c r="I59" i="99"/>
  <c r="X58" i="99" s="1"/>
  <c r="I56" i="99"/>
  <c r="X55" i="99" s="1"/>
  <c r="I53" i="99"/>
  <c r="X52" i="99" s="1"/>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R2" i="99"/>
  <c r="X103" i="98"/>
  <c r="I103" i="98"/>
  <c r="X102" i="98"/>
  <c r="V102" i="98"/>
  <c r="V103" i="98" s="1"/>
  <c r="I102" i="98"/>
  <c r="I104" i="98" s="1"/>
  <c r="J104" i="98" s="1"/>
  <c r="G102" i="98"/>
  <c r="G103" i="98" s="1"/>
  <c r="I98" i="98"/>
  <c r="J98" i="98" s="1"/>
  <c r="E98" i="98"/>
  <c r="T97" i="98"/>
  <c r="I97" i="98"/>
  <c r="X96" i="98" s="1"/>
  <c r="E97" i="98"/>
  <c r="T96" i="98"/>
  <c r="T92" i="98"/>
  <c r="G92" i="98"/>
  <c r="V92" i="98" s="1"/>
  <c r="T91" i="98"/>
  <c r="G91" i="98"/>
  <c r="V91" i="98" s="1"/>
  <c r="T90" i="98"/>
  <c r="G90" i="98"/>
  <c r="V90" i="98" s="1"/>
  <c r="V86" i="98"/>
  <c r="G85" i="98"/>
  <c r="G84" i="98"/>
  <c r="V83" i="98" s="1"/>
  <c r="J82" i="98"/>
  <c r="Y81" i="98" s="1"/>
  <c r="X83" i="98" s="1"/>
  <c r="J81" i="98"/>
  <c r="Y80" i="98"/>
  <c r="G72" i="98"/>
  <c r="V71" i="98" s="1"/>
  <c r="G71" i="98"/>
  <c r="V70" i="98" s="1"/>
  <c r="G70" i="98"/>
  <c r="V69" i="98" s="1"/>
  <c r="G68" i="98"/>
  <c r="V67" i="98" s="1"/>
  <c r="I65" i="98"/>
  <c r="X64" i="98" s="1"/>
  <c r="I62" i="98"/>
  <c r="X61" i="98" s="1"/>
  <c r="I59" i="98"/>
  <c r="X58" i="98" s="1"/>
  <c r="I56" i="98"/>
  <c r="X55" i="98" s="1"/>
  <c r="I53" i="98"/>
  <c r="X52" i="98" s="1"/>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E25" i="98"/>
  <c r="I25" i="98" s="1"/>
  <c r="T24" i="98"/>
  <c r="X24" i="98" s="1"/>
  <c r="E24" i="98"/>
  <c r="I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I98" i="97"/>
  <c r="J98" i="97" s="1"/>
  <c r="E98" i="97"/>
  <c r="T97" i="97"/>
  <c r="I97" i="97"/>
  <c r="X96" i="97" s="1"/>
  <c r="E97" i="97"/>
  <c r="T96" i="97"/>
  <c r="T92" i="97"/>
  <c r="G92" i="97"/>
  <c r="V92" i="97" s="1"/>
  <c r="T91" i="97"/>
  <c r="G91" i="97"/>
  <c r="V91" i="97" s="1"/>
  <c r="T90" i="97"/>
  <c r="G90" i="97"/>
  <c r="V90" i="97" s="1"/>
  <c r="V86" i="97"/>
  <c r="G85" i="97"/>
  <c r="V85" i="97" s="1"/>
  <c r="G84" i="97"/>
  <c r="V83" i="97" s="1"/>
  <c r="J82" i="97"/>
  <c r="Y81" i="97" s="1"/>
  <c r="X83" i="97" s="1"/>
  <c r="J81" i="97"/>
  <c r="Y80" i="97"/>
  <c r="G72" i="97"/>
  <c r="V71" i="97" s="1"/>
  <c r="G71" i="97"/>
  <c r="V70" i="97" s="1"/>
  <c r="G70" i="97"/>
  <c r="V69" i="97" s="1"/>
  <c r="G68" i="97"/>
  <c r="V67" i="97" s="1"/>
  <c r="I65" i="97"/>
  <c r="X64" i="97" s="1"/>
  <c r="I62" i="97"/>
  <c r="X61" i="97" s="1"/>
  <c r="I59" i="97"/>
  <c r="X58" i="97" s="1"/>
  <c r="I56" i="97"/>
  <c r="X55" i="97" s="1"/>
  <c r="I53" i="97"/>
  <c r="X52" i="97" s="1"/>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I98" i="96"/>
  <c r="E98" i="96"/>
  <c r="T97" i="96"/>
  <c r="I97" i="96"/>
  <c r="X96" i="96" s="1"/>
  <c r="E97" i="96"/>
  <c r="T96" i="96"/>
  <c r="T92" i="96"/>
  <c r="G92" i="96"/>
  <c r="V92" i="96" s="1"/>
  <c r="T91" i="96"/>
  <c r="G91" i="96"/>
  <c r="V91" i="96" s="1"/>
  <c r="T90" i="96"/>
  <c r="G90" i="96"/>
  <c r="V90" i="96" s="1"/>
  <c r="V87" i="96"/>
  <c r="V86" i="96"/>
  <c r="G85" i="96"/>
  <c r="V85" i="96" s="1"/>
  <c r="G84" i="96"/>
  <c r="V83" i="96" s="1"/>
  <c r="J82" i="96"/>
  <c r="Y81" i="96" s="1"/>
  <c r="X83" i="96" s="1"/>
  <c r="J81" i="96"/>
  <c r="Y80" i="96"/>
  <c r="G72" i="96"/>
  <c r="G71" i="96"/>
  <c r="V70" i="96" s="1"/>
  <c r="G70" i="96"/>
  <c r="G68" i="96"/>
  <c r="V67" i="96" s="1"/>
  <c r="I65" i="96"/>
  <c r="X64" i="96" s="1"/>
  <c r="I62" i="96"/>
  <c r="X61" i="96" s="1"/>
  <c r="I59" i="96"/>
  <c r="X58" i="96" s="1"/>
  <c r="I56" i="96"/>
  <c r="X55" i="96" s="1"/>
  <c r="I53" i="96"/>
  <c r="X52" i="96" s="1"/>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I98" i="95"/>
  <c r="X97" i="95" s="1"/>
  <c r="Y97" i="95" s="1"/>
  <c r="E98" i="95"/>
  <c r="T97" i="95"/>
  <c r="I97" i="95"/>
  <c r="X96" i="95" s="1"/>
  <c r="Y96" i="95" s="1"/>
  <c r="E97" i="95"/>
  <c r="T96" i="95"/>
  <c r="T92" i="95"/>
  <c r="G92" i="95"/>
  <c r="V92" i="95" s="1"/>
  <c r="T91" i="95"/>
  <c r="G91" i="95"/>
  <c r="V91" i="95" s="1"/>
  <c r="T90" i="95"/>
  <c r="G90" i="95"/>
  <c r="V90" i="95" s="1"/>
  <c r="V86" i="95"/>
  <c r="G85" i="95"/>
  <c r="G84" i="95"/>
  <c r="V83" i="95" s="1"/>
  <c r="J82" i="95"/>
  <c r="Y81" i="95" s="1"/>
  <c r="J81" i="95"/>
  <c r="Y80" i="95"/>
  <c r="G72" i="95"/>
  <c r="G71" i="95"/>
  <c r="G70" i="95"/>
  <c r="V69" i="95" s="1"/>
  <c r="G68" i="95"/>
  <c r="V67" i="95" s="1"/>
  <c r="I65" i="95"/>
  <c r="X64" i="95" s="1"/>
  <c r="I62" i="95"/>
  <c r="X61" i="95" s="1"/>
  <c r="I59" i="95"/>
  <c r="X58" i="95" s="1"/>
  <c r="I56" i="95"/>
  <c r="X55" i="95" s="1"/>
  <c r="I53" i="95"/>
  <c r="X52" i="95" s="1"/>
  <c r="T50" i="95"/>
  <c r="D50" i="95"/>
  <c r="E46" i="95" s="1"/>
  <c r="C50" i="95"/>
  <c r="I49" i="95"/>
  <c r="X49" i="95" s="1"/>
  <c r="Y49" i="95" s="1"/>
  <c r="I48" i="95"/>
  <c r="X48" i="95" s="1"/>
  <c r="Y48" i="95" s="1"/>
  <c r="I47" i="95"/>
  <c r="X47" i="95" s="1"/>
  <c r="Y47" i="95" s="1"/>
  <c r="E47" i="95"/>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E27" i="95"/>
  <c r="I27" i="95" s="1"/>
  <c r="T26" i="95"/>
  <c r="X26" i="95" s="1"/>
  <c r="T25" i="95"/>
  <c r="X25" i="95" s="1"/>
  <c r="T24" i="95"/>
  <c r="X24" i="95" s="1"/>
  <c r="E24" i="95"/>
  <c r="I24" i="95" s="1"/>
  <c r="T23" i="95"/>
  <c r="X23" i="95" s="1"/>
  <c r="T22" i="95"/>
  <c r="X22" i="95" s="1"/>
  <c r="T21" i="95"/>
  <c r="X21" i="95" s="1"/>
  <c r="T20" i="95"/>
  <c r="X20" i="95" s="1"/>
  <c r="E20" i="95"/>
  <c r="I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I98" i="94"/>
  <c r="X97" i="94" s="1"/>
  <c r="E98" i="94"/>
  <c r="T97" i="94"/>
  <c r="I97" i="94"/>
  <c r="X96" i="94" s="1"/>
  <c r="E97" i="94"/>
  <c r="T96" i="94"/>
  <c r="T92" i="94"/>
  <c r="G92" i="94"/>
  <c r="V92" i="94" s="1"/>
  <c r="T91" i="94"/>
  <c r="G91" i="94"/>
  <c r="V91" i="94" s="1"/>
  <c r="T90" i="94"/>
  <c r="G90" i="94"/>
  <c r="V90" i="94" s="1"/>
  <c r="V86" i="94"/>
  <c r="G85" i="94"/>
  <c r="G84" i="94"/>
  <c r="V83" i="94" s="1"/>
  <c r="J82" i="94"/>
  <c r="Y81" i="94" s="1"/>
  <c r="J81" i="94"/>
  <c r="Y80" i="94"/>
  <c r="G72" i="94"/>
  <c r="V71" i="94" s="1"/>
  <c r="G71" i="94"/>
  <c r="V70" i="94" s="1"/>
  <c r="G70" i="94"/>
  <c r="G68" i="94"/>
  <c r="V67" i="94" s="1"/>
  <c r="I65" i="94"/>
  <c r="X64" i="94" s="1"/>
  <c r="I62" i="94"/>
  <c r="X61" i="94" s="1"/>
  <c r="I59" i="94"/>
  <c r="X58" i="94" s="1"/>
  <c r="I56" i="94"/>
  <c r="X55" i="94" s="1"/>
  <c r="I53" i="94"/>
  <c r="X52" i="94" s="1"/>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E24" i="94"/>
  <c r="I24" i="94" s="1"/>
  <c r="T23" i="94"/>
  <c r="X23" i="94" s="1"/>
  <c r="T22" i="94"/>
  <c r="X22" i="94" s="1"/>
  <c r="T21" i="94"/>
  <c r="X21" i="94" s="1"/>
  <c r="E21" i="94"/>
  <c r="I21" i="94" s="1"/>
  <c r="T20" i="94"/>
  <c r="X20" i="94" s="1"/>
  <c r="E20" i="94"/>
  <c r="I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I98" i="93"/>
  <c r="X97" i="93" s="1"/>
  <c r="Y97" i="93" s="1"/>
  <c r="E98" i="93"/>
  <c r="T97" i="93"/>
  <c r="I97" i="93"/>
  <c r="X96" i="93" s="1"/>
  <c r="Y96" i="93" s="1"/>
  <c r="E97" i="93"/>
  <c r="T96" i="93"/>
  <c r="T92" i="93"/>
  <c r="G92" i="93"/>
  <c r="V92" i="93" s="1"/>
  <c r="T91" i="93"/>
  <c r="G91" i="93"/>
  <c r="V91" i="93" s="1"/>
  <c r="T90" i="93"/>
  <c r="G90" i="93"/>
  <c r="V90" i="93" s="1"/>
  <c r="V86" i="93"/>
  <c r="G85" i="93"/>
  <c r="G84" i="93"/>
  <c r="V83" i="93" s="1"/>
  <c r="J82" i="93"/>
  <c r="Y81" i="93" s="1"/>
  <c r="X83" i="93" s="1"/>
  <c r="J81" i="93"/>
  <c r="Y80" i="93"/>
  <c r="G72" i="93"/>
  <c r="G71" i="93"/>
  <c r="G70" i="93"/>
  <c r="V69" i="93" s="1"/>
  <c r="G68" i="93"/>
  <c r="V67" i="93" s="1"/>
  <c r="I65" i="93"/>
  <c r="X64" i="93" s="1"/>
  <c r="I62" i="93"/>
  <c r="X61" i="93" s="1"/>
  <c r="I59" i="93"/>
  <c r="X58" i="93" s="1"/>
  <c r="I56" i="93"/>
  <c r="X55" i="93" s="1"/>
  <c r="I53" i="93"/>
  <c r="X52" i="93" s="1"/>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E43" i="93"/>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E20" i="93"/>
  <c r="I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I98" i="92"/>
  <c r="J98" i="92" s="1"/>
  <c r="E98" i="92"/>
  <c r="T97" i="92"/>
  <c r="I97" i="92"/>
  <c r="X96" i="92" s="1"/>
  <c r="E97" i="92"/>
  <c r="T96" i="92"/>
  <c r="T92" i="92"/>
  <c r="G92" i="92"/>
  <c r="V92" i="92" s="1"/>
  <c r="T91" i="92"/>
  <c r="G91" i="92"/>
  <c r="V91" i="92" s="1"/>
  <c r="T90" i="92"/>
  <c r="G90" i="92"/>
  <c r="V90" i="92" s="1"/>
  <c r="V87" i="92"/>
  <c r="V86" i="92"/>
  <c r="G85" i="92"/>
  <c r="G84" i="92"/>
  <c r="J82" i="92"/>
  <c r="Y81" i="92" s="1"/>
  <c r="X83" i="92" s="1"/>
  <c r="J81" i="92"/>
  <c r="Y80" i="92"/>
  <c r="G72" i="92"/>
  <c r="G71" i="92"/>
  <c r="G70" i="92"/>
  <c r="V69" i="92" s="1"/>
  <c r="G68" i="92"/>
  <c r="V67" i="92" s="1"/>
  <c r="I65" i="92"/>
  <c r="X64" i="92" s="1"/>
  <c r="I62" i="92"/>
  <c r="X61" i="92" s="1"/>
  <c r="I59" i="92"/>
  <c r="X58" i="92" s="1"/>
  <c r="I56" i="92"/>
  <c r="X55" i="92" s="1"/>
  <c r="I53" i="92"/>
  <c r="X52" i="92" s="1"/>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I98" i="91"/>
  <c r="E98" i="91"/>
  <c r="T97" i="91"/>
  <c r="I97" i="91"/>
  <c r="X96" i="91" s="1"/>
  <c r="E97" i="91"/>
  <c r="T96" i="91"/>
  <c r="T92" i="91"/>
  <c r="G92" i="91"/>
  <c r="V92" i="91" s="1"/>
  <c r="T91" i="91"/>
  <c r="G91" i="91"/>
  <c r="V91" i="91" s="1"/>
  <c r="T90" i="91"/>
  <c r="G90" i="91"/>
  <c r="V90" i="91" s="1"/>
  <c r="V87" i="91"/>
  <c r="V86" i="91"/>
  <c r="G85" i="91"/>
  <c r="G84" i="91"/>
  <c r="V83" i="91" s="1"/>
  <c r="J82" i="91"/>
  <c r="Y81" i="91" s="1"/>
  <c r="J81" i="91"/>
  <c r="Y80" i="91"/>
  <c r="G72" i="91"/>
  <c r="G71" i="91"/>
  <c r="G70" i="91"/>
  <c r="V69" i="91" s="1"/>
  <c r="G68" i="91"/>
  <c r="V67" i="91" s="1"/>
  <c r="I65" i="91"/>
  <c r="X64" i="91" s="1"/>
  <c r="I62" i="91"/>
  <c r="X61" i="91" s="1"/>
  <c r="I59" i="91"/>
  <c r="X58" i="91" s="1"/>
  <c r="I56" i="91"/>
  <c r="X55" i="91" s="1"/>
  <c r="I53" i="91"/>
  <c r="X52" i="91" s="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E42" i="91"/>
  <c r="I41" i="91"/>
  <c r="X41" i="91" s="1"/>
  <c r="Y41" i="91" s="1"/>
  <c r="Y37" i="91"/>
  <c r="J37" i="91"/>
  <c r="Y36" i="91"/>
  <c r="Y38" i="91" s="1"/>
  <c r="J36" i="91"/>
  <c r="J38" i="91" s="1"/>
  <c r="G32" i="91"/>
  <c r="T31" i="91"/>
  <c r="V32" i="91" s="1"/>
  <c r="D28" i="91"/>
  <c r="E26" i="91" s="1"/>
  <c r="I26" i="91" s="1"/>
  <c r="C28" i="91"/>
  <c r="T27" i="91"/>
  <c r="X27" i="91" s="1"/>
  <c r="E27" i="91"/>
  <c r="I27" i="91" s="1"/>
  <c r="T26" i="91"/>
  <c r="X26" i="91" s="1"/>
  <c r="T25" i="91"/>
  <c r="X25" i="91" s="1"/>
  <c r="T24" i="91"/>
  <c r="X24" i="91" s="1"/>
  <c r="T23" i="91"/>
  <c r="X23" i="91" s="1"/>
  <c r="T22" i="91"/>
  <c r="X22" i="91" s="1"/>
  <c r="T21" i="91"/>
  <c r="X21" i="91" s="1"/>
  <c r="T20" i="91"/>
  <c r="X20" i="91" s="1"/>
  <c r="E20" i="91"/>
  <c r="I20" i="91" s="1"/>
  <c r="T19" i="91"/>
  <c r="X19" i="91" s="1"/>
  <c r="T18" i="91"/>
  <c r="X18" i="91" s="1"/>
  <c r="T17" i="91"/>
  <c r="X17" i="91" s="1"/>
  <c r="T16" i="91"/>
  <c r="X16" i="91" s="1"/>
  <c r="T15" i="91"/>
  <c r="X15" i="91" s="1"/>
  <c r="T14" i="91"/>
  <c r="X14" i="91" s="1"/>
  <c r="E14" i="91"/>
  <c r="I14" i="91" s="1"/>
  <c r="T13" i="91"/>
  <c r="T12" i="91"/>
  <c r="X12" i="91" s="1"/>
  <c r="I7" i="91"/>
  <c r="T6" i="91"/>
  <c r="I6" i="91"/>
  <c r="R2" i="91"/>
  <c r="X103" i="90"/>
  <c r="I103" i="90"/>
  <c r="V102" i="90"/>
  <c r="V103" i="90" s="1"/>
  <c r="I102" i="90"/>
  <c r="I104" i="90" s="1"/>
  <c r="J104" i="90" s="1"/>
  <c r="G102" i="90"/>
  <c r="G103" i="90" s="1"/>
  <c r="I98" i="90"/>
  <c r="J98" i="90" s="1"/>
  <c r="E98" i="90"/>
  <c r="T97" i="90"/>
  <c r="I97" i="90"/>
  <c r="X96" i="90" s="1"/>
  <c r="E97" i="90"/>
  <c r="T96" i="90"/>
  <c r="T92" i="90"/>
  <c r="G92" i="90"/>
  <c r="V92" i="90" s="1"/>
  <c r="T91" i="90"/>
  <c r="G91" i="90"/>
  <c r="V91" i="90" s="1"/>
  <c r="T90" i="90"/>
  <c r="G90" i="90"/>
  <c r="V90" i="90" s="1"/>
  <c r="V87" i="90"/>
  <c r="V86" i="90"/>
  <c r="G85" i="90"/>
  <c r="V85" i="90" s="1"/>
  <c r="G84" i="90"/>
  <c r="V83" i="90" s="1"/>
  <c r="J82" i="90"/>
  <c r="Y81" i="90" s="1"/>
  <c r="X83" i="90" s="1"/>
  <c r="J81" i="90"/>
  <c r="Y80" i="90"/>
  <c r="G72" i="90"/>
  <c r="V71" i="90" s="1"/>
  <c r="G71" i="90"/>
  <c r="V70" i="90" s="1"/>
  <c r="G70" i="90"/>
  <c r="V69" i="90" s="1"/>
  <c r="G68" i="90"/>
  <c r="V67" i="90" s="1"/>
  <c r="I65" i="90"/>
  <c r="X64" i="90" s="1"/>
  <c r="I62" i="90"/>
  <c r="X61" i="90" s="1"/>
  <c r="I59" i="90"/>
  <c r="X58" i="90" s="1"/>
  <c r="I56" i="90"/>
  <c r="X55" i="90" s="1"/>
  <c r="I53" i="90"/>
  <c r="X52" i="90" s="1"/>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E27" i="90"/>
  <c r="I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I98" i="89"/>
  <c r="X97" i="89" s="1"/>
  <c r="E98" i="89"/>
  <c r="T97" i="89"/>
  <c r="I97" i="89"/>
  <c r="X96" i="89" s="1"/>
  <c r="E97" i="89"/>
  <c r="T96" i="89"/>
  <c r="T92" i="89"/>
  <c r="G92" i="89"/>
  <c r="V92" i="89" s="1"/>
  <c r="T91" i="89"/>
  <c r="G91" i="89"/>
  <c r="V91" i="89" s="1"/>
  <c r="T90" i="89"/>
  <c r="G90" i="89"/>
  <c r="V90" i="89" s="1"/>
  <c r="V87" i="89"/>
  <c r="V86" i="89"/>
  <c r="G85" i="89"/>
  <c r="G84" i="89"/>
  <c r="V83" i="89" s="1"/>
  <c r="J82" i="89"/>
  <c r="Y80" i="89"/>
  <c r="G72" i="89"/>
  <c r="G71" i="89"/>
  <c r="V70" i="89" s="1"/>
  <c r="G70" i="89"/>
  <c r="G68" i="89"/>
  <c r="V67" i="89" s="1"/>
  <c r="I65" i="89"/>
  <c r="X64" i="89" s="1"/>
  <c r="I62" i="89"/>
  <c r="X61" i="89" s="1"/>
  <c r="I59" i="89"/>
  <c r="X58" i="89" s="1"/>
  <c r="I56" i="89"/>
  <c r="X55" i="89" s="1"/>
  <c r="I53" i="89"/>
  <c r="X52" i="89" s="1"/>
  <c r="T50" i="89"/>
  <c r="D50" i="89"/>
  <c r="E46" i="89" s="1"/>
  <c r="C50" i="89"/>
  <c r="I49" i="89"/>
  <c r="X49" i="89" s="1"/>
  <c r="Y49" i="89" s="1"/>
  <c r="I48" i="89"/>
  <c r="X48" i="89" s="1"/>
  <c r="Y48" i="89" s="1"/>
  <c r="I47" i="89"/>
  <c r="X47" i="89" s="1"/>
  <c r="Y47" i="89" s="1"/>
  <c r="E47" i="89"/>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E27" i="89"/>
  <c r="I27" i="89" s="1"/>
  <c r="T26" i="89"/>
  <c r="X26" i="89" s="1"/>
  <c r="T25" i="89"/>
  <c r="X25" i="89" s="1"/>
  <c r="T24" i="89"/>
  <c r="X24" i="89" s="1"/>
  <c r="E24" i="89"/>
  <c r="I24" i="89" s="1"/>
  <c r="T23" i="89"/>
  <c r="X23" i="89" s="1"/>
  <c r="T22" i="89"/>
  <c r="X22" i="89" s="1"/>
  <c r="T21" i="89"/>
  <c r="X21" i="89" s="1"/>
  <c r="E21" i="89"/>
  <c r="I21" i="89" s="1"/>
  <c r="T20" i="89"/>
  <c r="X20" i="89" s="1"/>
  <c r="T19" i="89"/>
  <c r="X19" i="89" s="1"/>
  <c r="T18" i="89"/>
  <c r="X18" i="89" s="1"/>
  <c r="T17" i="89"/>
  <c r="X17" i="89" s="1"/>
  <c r="T16" i="89"/>
  <c r="X16" i="89" s="1"/>
  <c r="T15" i="89"/>
  <c r="X15" i="89" s="1"/>
  <c r="T14" i="89"/>
  <c r="X14" i="89" s="1"/>
  <c r="E14" i="89"/>
  <c r="I14" i="89" s="1"/>
  <c r="T13" i="89"/>
  <c r="T12" i="89"/>
  <c r="X12" i="89" s="1"/>
  <c r="I7" i="89"/>
  <c r="T6" i="89"/>
  <c r="I6" i="89"/>
  <c r="R2" i="89"/>
  <c r="X103" i="88"/>
  <c r="I103" i="88"/>
  <c r="X102" i="88"/>
  <c r="I102" i="88"/>
  <c r="G102" i="88"/>
  <c r="G103" i="88" s="1"/>
  <c r="I98" i="88"/>
  <c r="X97" i="88" s="1"/>
  <c r="Y97" i="88" s="1"/>
  <c r="E98" i="88"/>
  <c r="T97" i="88"/>
  <c r="I97" i="88"/>
  <c r="X96" i="88" s="1"/>
  <c r="E97" i="88"/>
  <c r="T96" i="88"/>
  <c r="T92" i="88"/>
  <c r="G92" i="88"/>
  <c r="V92" i="88" s="1"/>
  <c r="T91" i="88"/>
  <c r="G91" i="88"/>
  <c r="V91" i="88" s="1"/>
  <c r="T90" i="88"/>
  <c r="G90" i="88"/>
  <c r="V90" i="88" s="1"/>
  <c r="V87" i="88"/>
  <c r="V86" i="88"/>
  <c r="G85" i="88"/>
  <c r="V85" i="88" s="1"/>
  <c r="G84" i="88"/>
  <c r="V83" i="88" s="1"/>
  <c r="J82" i="88"/>
  <c r="Y81" i="88" s="1"/>
  <c r="Y80" i="88"/>
  <c r="G72" i="88"/>
  <c r="G71" i="88"/>
  <c r="V70" i="88" s="1"/>
  <c r="G70" i="88"/>
  <c r="V69" i="88" s="1"/>
  <c r="G68" i="88"/>
  <c r="V67" i="88" s="1"/>
  <c r="I65" i="88"/>
  <c r="X64" i="88" s="1"/>
  <c r="I62" i="88"/>
  <c r="X61" i="88" s="1"/>
  <c r="I59" i="88"/>
  <c r="X58" i="88" s="1"/>
  <c r="I56" i="88"/>
  <c r="X55" i="88" s="1"/>
  <c r="I53" i="88"/>
  <c r="X52" i="88" s="1"/>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E21" i="88"/>
  <c r="I21" i="88" s="1"/>
  <c r="T20" i="88"/>
  <c r="X20" i="88" s="1"/>
  <c r="E20" i="88"/>
  <c r="I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I98" i="87"/>
  <c r="E98" i="87"/>
  <c r="T97" i="87"/>
  <c r="I97" i="87"/>
  <c r="X96" i="87" s="1"/>
  <c r="E97" i="87"/>
  <c r="T96" i="87"/>
  <c r="T92" i="87"/>
  <c r="G92" i="87"/>
  <c r="V92" i="87" s="1"/>
  <c r="T91" i="87"/>
  <c r="G91" i="87"/>
  <c r="V91" i="87" s="1"/>
  <c r="T90" i="87"/>
  <c r="G90" i="87"/>
  <c r="V90" i="87" s="1"/>
  <c r="V87" i="87"/>
  <c r="V86" i="87"/>
  <c r="G85" i="87"/>
  <c r="G84" i="87"/>
  <c r="J82" i="87"/>
  <c r="Y81" i="87" s="1"/>
  <c r="J81" i="87"/>
  <c r="Y80" i="87"/>
  <c r="G72" i="87"/>
  <c r="V71" i="87" s="1"/>
  <c r="G71" i="87"/>
  <c r="G70" i="87"/>
  <c r="G68" i="87"/>
  <c r="V67" i="87" s="1"/>
  <c r="I65" i="87"/>
  <c r="X64" i="87" s="1"/>
  <c r="I62" i="87"/>
  <c r="X61" i="87" s="1"/>
  <c r="I59" i="87"/>
  <c r="X58" i="87" s="1"/>
  <c r="I56" i="87"/>
  <c r="X55" i="87" s="1"/>
  <c r="I53" i="87"/>
  <c r="X52" i="87" s="1"/>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E24" i="87"/>
  <c r="I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I98" i="86"/>
  <c r="J98" i="86" s="1"/>
  <c r="E98" i="86"/>
  <c r="T97" i="86"/>
  <c r="I97" i="86"/>
  <c r="X96" i="86" s="1"/>
  <c r="E97" i="86"/>
  <c r="T96" i="86"/>
  <c r="T92" i="86"/>
  <c r="G92" i="86"/>
  <c r="V92" i="86" s="1"/>
  <c r="T91" i="86"/>
  <c r="G91" i="86"/>
  <c r="V91" i="86" s="1"/>
  <c r="T90" i="86"/>
  <c r="G90" i="86"/>
  <c r="V90" i="86" s="1"/>
  <c r="V87" i="86"/>
  <c r="V86" i="86"/>
  <c r="G85" i="86"/>
  <c r="G84" i="86"/>
  <c r="V83" i="86" s="1"/>
  <c r="J82" i="86"/>
  <c r="Y81" i="86" s="1"/>
  <c r="J81" i="86"/>
  <c r="Y80" i="86"/>
  <c r="G72" i="86"/>
  <c r="V71" i="86" s="1"/>
  <c r="G71" i="86"/>
  <c r="V70" i="86" s="1"/>
  <c r="G70" i="86"/>
  <c r="G68" i="86"/>
  <c r="V67" i="86" s="1"/>
  <c r="I65" i="86"/>
  <c r="X64" i="86" s="1"/>
  <c r="I62" i="86"/>
  <c r="X61" i="86" s="1"/>
  <c r="I59" i="86"/>
  <c r="X58" i="86" s="1"/>
  <c r="I56" i="86"/>
  <c r="X55" i="86" s="1"/>
  <c r="I53" i="86"/>
  <c r="X52" i="86" s="1"/>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E42" i="86"/>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E21" i="86"/>
  <c r="I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I98" i="85"/>
  <c r="E98" i="85"/>
  <c r="T97" i="85"/>
  <c r="I97" i="85"/>
  <c r="X96" i="85" s="1"/>
  <c r="E97" i="85"/>
  <c r="T96" i="85"/>
  <c r="T92" i="85"/>
  <c r="G92" i="85"/>
  <c r="V92" i="85" s="1"/>
  <c r="T91" i="85"/>
  <c r="G91" i="85"/>
  <c r="V91" i="85" s="1"/>
  <c r="T90" i="85"/>
  <c r="G90" i="85"/>
  <c r="V90" i="85" s="1"/>
  <c r="V87" i="85"/>
  <c r="G85" i="85"/>
  <c r="G84" i="85"/>
  <c r="V83" i="85" s="1"/>
  <c r="J82" i="85"/>
  <c r="Y81" i="85" s="1"/>
  <c r="Y80" i="85"/>
  <c r="G72" i="85"/>
  <c r="V71" i="85" s="1"/>
  <c r="G71" i="85"/>
  <c r="V70" i="85" s="1"/>
  <c r="G70" i="85"/>
  <c r="V69" i="85" s="1"/>
  <c r="G68" i="85"/>
  <c r="V67" i="85" s="1"/>
  <c r="I65" i="85"/>
  <c r="X64" i="85" s="1"/>
  <c r="I62" i="85"/>
  <c r="X61" i="85" s="1"/>
  <c r="I59" i="85"/>
  <c r="X58" i="85" s="1"/>
  <c r="I56" i="85"/>
  <c r="X55" i="85" s="1"/>
  <c r="I53" i="85"/>
  <c r="X52" i="85" s="1"/>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I98" i="84"/>
  <c r="J98" i="84" s="1"/>
  <c r="E98" i="84"/>
  <c r="T97" i="84"/>
  <c r="I97" i="84"/>
  <c r="X96" i="84" s="1"/>
  <c r="E97" i="84"/>
  <c r="T96" i="84"/>
  <c r="T92" i="84"/>
  <c r="G92" i="84"/>
  <c r="V92" i="84" s="1"/>
  <c r="T91" i="84"/>
  <c r="G91" i="84"/>
  <c r="V91" i="84" s="1"/>
  <c r="T90" i="84"/>
  <c r="G90" i="84"/>
  <c r="V90" i="84" s="1"/>
  <c r="V86" i="84"/>
  <c r="G85" i="84"/>
  <c r="G84" i="84"/>
  <c r="J82" i="84"/>
  <c r="Y81" i="84" s="1"/>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I98" i="83"/>
  <c r="X97" i="83" s="1"/>
  <c r="E98" i="83"/>
  <c r="T97" i="83"/>
  <c r="I97" i="83"/>
  <c r="X96" i="83" s="1"/>
  <c r="E97" i="83"/>
  <c r="T96" i="83"/>
  <c r="T92" i="83"/>
  <c r="G92" i="83"/>
  <c r="V92" i="83" s="1"/>
  <c r="T91" i="83"/>
  <c r="G91" i="83"/>
  <c r="V91" i="83" s="1"/>
  <c r="T90" i="83"/>
  <c r="G90" i="83"/>
  <c r="V90" i="83" s="1"/>
  <c r="G85" i="83"/>
  <c r="V85" i="83" s="1"/>
  <c r="G84" i="83"/>
  <c r="V83" i="83" s="1"/>
  <c r="J82" i="83"/>
  <c r="Y81" i="83" s="1"/>
  <c r="J81" i="83"/>
  <c r="Y80" i="83"/>
  <c r="G72" i="83"/>
  <c r="V71" i="83" s="1"/>
  <c r="G71" i="83"/>
  <c r="V70" i="83" s="1"/>
  <c r="G70" i="83"/>
  <c r="G68" i="83"/>
  <c r="V67" i="83" s="1"/>
  <c r="I65" i="83"/>
  <c r="X64" i="83" s="1"/>
  <c r="I62" i="83"/>
  <c r="X61" i="83" s="1"/>
  <c r="I59" i="83"/>
  <c r="X58" i="83" s="1"/>
  <c r="I56" i="83"/>
  <c r="X55" i="83" s="1"/>
  <c r="I53" i="83"/>
  <c r="X52" i="83" s="1"/>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E27" i="83"/>
  <c r="I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I98" i="82"/>
  <c r="X97" i="82" s="1"/>
  <c r="Y97" i="82" s="1"/>
  <c r="E98" i="82"/>
  <c r="T97" i="82"/>
  <c r="I97" i="82"/>
  <c r="X96" i="82" s="1"/>
  <c r="E97" i="82"/>
  <c r="T96" i="82"/>
  <c r="T92" i="82"/>
  <c r="G92" i="82"/>
  <c r="V92" i="82" s="1"/>
  <c r="T91" i="82"/>
  <c r="G91" i="82"/>
  <c r="V91" i="82" s="1"/>
  <c r="T90" i="82"/>
  <c r="G90" i="82"/>
  <c r="V90" i="82" s="1"/>
  <c r="V86" i="82"/>
  <c r="G85" i="82"/>
  <c r="V85" i="82" s="1"/>
  <c r="G84" i="82"/>
  <c r="J82" i="82"/>
  <c r="Y81" i="82" s="1"/>
  <c r="X83" i="82" s="1"/>
  <c r="Y80" i="82"/>
  <c r="G72" i="82"/>
  <c r="G71" i="82"/>
  <c r="V70" i="82" s="1"/>
  <c r="G70" i="82"/>
  <c r="G68" i="82"/>
  <c r="V67" i="82" s="1"/>
  <c r="I65" i="82"/>
  <c r="X64" i="82" s="1"/>
  <c r="I62" i="82"/>
  <c r="X61" i="82" s="1"/>
  <c r="I59" i="82"/>
  <c r="X58" i="82" s="1"/>
  <c r="I56" i="82"/>
  <c r="X55" i="82" s="1"/>
  <c r="I53" i="82"/>
  <c r="X52" i="82" s="1"/>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I98" i="81"/>
  <c r="J98" i="81" s="1"/>
  <c r="E98" i="81"/>
  <c r="T97" i="81"/>
  <c r="I97" i="81"/>
  <c r="X96" i="81" s="1"/>
  <c r="E97" i="81"/>
  <c r="T96" i="81"/>
  <c r="T92" i="81"/>
  <c r="G92" i="81"/>
  <c r="V92" i="81" s="1"/>
  <c r="T91" i="81"/>
  <c r="G91" i="81"/>
  <c r="V91" i="81" s="1"/>
  <c r="T90" i="81"/>
  <c r="G90" i="81"/>
  <c r="V90" i="81" s="1"/>
  <c r="V87" i="81"/>
  <c r="V86" i="81"/>
  <c r="G85" i="81"/>
  <c r="G84" i="81"/>
  <c r="J82" i="81"/>
  <c r="Y81" i="81" s="1"/>
  <c r="Y80" i="81"/>
  <c r="G72" i="81"/>
  <c r="G71" i="81"/>
  <c r="V70" i="81" s="1"/>
  <c r="G70" i="81"/>
  <c r="V69" i="81" s="1"/>
  <c r="G68" i="81"/>
  <c r="V67" i="81" s="1"/>
  <c r="I65" i="81"/>
  <c r="X64" i="81" s="1"/>
  <c r="I62" i="81"/>
  <c r="X61" i="81" s="1"/>
  <c r="I59" i="81"/>
  <c r="X58" i="81" s="1"/>
  <c r="I56" i="81"/>
  <c r="X55" i="81" s="1"/>
  <c r="I53" i="81"/>
  <c r="X52" i="81" s="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I98" i="80"/>
  <c r="J98" i="80" s="1"/>
  <c r="E98" i="80"/>
  <c r="T97" i="80"/>
  <c r="I97" i="80"/>
  <c r="X96" i="80" s="1"/>
  <c r="E97" i="80"/>
  <c r="T96" i="80"/>
  <c r="T92" i="80"/>
  <c r="G92" i="80"/>
  <c r="V92" i="80" s="1"/>
  <c r="T91" i="80"/>
  <c r="G91" i="80"/>
  <c r="V91" i="80" s="1"/>
  <c r="T90" i="80"/>
  <c r="G90" i="80"/>
  <c r="V90" i="80" s="1"/>
  <c r="V86" i="80"/>
  <c r="G85" i="80"/>
  <c r="V85" i="80" s="1"/>
  <c r="G84" i="80"/>
  <c r="J82" i="80"/>
  <c r="Y81" i="80" s="1"/>
  <c r="J81" i="80"/>
  <c r="Y80" i="80"/>
  <c r="G72" i="80"/>
  <c r="G71" i="80"/>
  <c r="V70" i="80" s="1"/>
  <c r="G70" i="80"/>
  <c r="V69" i="80" s="1"/>
  <c r="G68" i="80"/>
  <c r="V67" i="80" s="1"/>
  <c r="I65" i="80"/>
  <c r="X64" i="80" s="1"/>
  <c r="I62" i="80"/>
  <c r="X61" i="80" s="1"/>
  <c r="I59" i="80"/>
  <c r="X58" i="80" s="1"/>
  <c r="I56" i="80"/>
  <c r="X55" i="80" s="1"/>
  <c r="I53" i="80"/>
  <c r="X52" i="80" s="1"/>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I98" i="79"/>
  <c r="J98" i="79" s="1"/>
  <c r="E98" i="79"/>
  <c r="T97" i="79"/>
  <c r="I97" i="79"/>
  <c r="X96" i="79" s="1"/>
  <c r="E97" i="79"/>
  <c r="T96" i="79"/>
  <c r="T92" i="79"/>
  <c r="G92" i="79"/>
  <c r="V92" i="79" s="1"/>
  <c r="T91" i="79"/>
  <c r="G91" i="79"/>
  <c r="V91" i="79" s="1"/>
  <c r="T90" i="79"/>
  <c r="G90" i="79"/>
  <c r="V90" i="79" s="1"/>
  <c r="V87" i="79"/>
  <c r="V86" i="79"/>
  <c r="G85" i="79"/>
  <c r="V85" i="79" s="1"/>
  <c r="G84" i="79"/>
  <c r="V83" i="79" s="1"/>
  <c r="J82" i="79"/>
  <c r="Y81" i="79" s="1"/>
  <c r="X83" i="79" s="1"/>
  <c r="Y80" i="79"/>
  <c r="G72" i="79"/>
  <c r="V71" i="79" s="1"/>
  <c r="G71" i="79"/>
  <c r="V70" i="79" s="1"/>
  <c r="G70" i="79"/>
  <c r="V69" i="79" s="1"/>
  <c r="G68" i="79"/>
  <c r="V67" i="79" s="1"/>
  <c r="I65" i="79"/>
  <c r="X64" i="79" s="1"/>
  <c r="I62" i="79"/>
  <c r="X61" i="79" s="1"/>
  <c r="I59" i="79"/>
  <c r="X58" i="79" s="1"/>
  <c r="I56" i="79"/>
  <c r="X55" i="79" s="1"/>
  <c r="I53" i="79"/>
  <c r="X52" i="79" s="1"/>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E27" i="79"/>
  <c r="I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I98" i="78"/>
  <c r="E98" i="78"/>
  <c r="T97" i="78"/>
  <c r="I97" i="78"/>
  <c r="X96" i="78" s="1"/>
  <c r="E97" i="78"/>
  <c r="T96" i="78"/>
  <c r="T92" i="78"/>
  <c r="G92" i="78"/>
  <c r="V92" i="78" s="1"/>
  <c r="T91" i="78"/>
  <c r="G91" i="78"/>
  <c r="V91" i="78" s="1"/>
  <c r="T90" i="78"/>
  <c r="G90" i="78"/>
  <c r="V90" i="78" s="1"/>
  <c r="V86" i="78"/>
  <c r="G85" i="78"/>
  <c r="V85" i="78" s="1"/>
  <c r="G84" i="78"/>
  <c r="V83" i="78" s="1"/>
  <c r="J82" i="78"/>
  <c r="Y81" i="78" s="1"/>
  <c r="X83" i="78" s="1"/>
  <c r="J81" i="78"/>
  <c r="Y80" i="78"/>
  <c r="G72" i="78"/>
  <c r="G71" i="78"/>
  <c r="V70" i="78" s="1"/>
  <c r="G70" i="78"/>
  <c r="V69" i="78" s="1"/>
  <c r="G68" i="78"/>
  <c r="V67" i="78" s="1"/>
  <c r="I65" i="78"/>
  <c r="X64" i="78" s="1"/>
  <c r="I62" i="78"/>
  <c r="X61" i="78" s="1"/>
  <c r="I59" i="78"/>
  <c r="X58" i="78" s="1"/>
  <c r="I56" i="78"/>
  <c r="X55" i="78" s="1"/>
  <c r="I53" i="78"/>
  <c r="X52" i="78" s="1"/>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E21" i="78"/>
  <c r="I21" i="78" s="1"/>
  <c r="T20" i="78"/>
  <c r="X20" i="78" s="1"/>
  <c r="E20" i="78"/>
  <c r="I20" i="78" s="1"/>
  <c r="T19" i="78"/>
  <c r="X19" i="78" s="1"/>
  <c r="T18" i="78"/>
  <c r="X18" i="78" s="1"/>
  <c r="E18" i="78"/>
  <c r="I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I98" i="77"/>
  <c r="J98" i="77" s="1"/>
  <c r="E98" i="77"/>
  <c r="T97" i="77"/>
  <c r="I97" i="77"/>
  <c r="X96" i="77" s="1"/>
  <c r="E97" i="77"/>
  <c r="T92" i="77"/>
  <c r="G92" i="77"/>
  <c r="V92" i="77" s="1"/>
  <c r="T91" i="77"/>
  <c r="G91" i="77"/>
  <c r="V91" i="77" s="1"/>
  <c r="T90" i="77"/>
  <c r="G90" i="77"/>
  <c r="V90" i="77" s="1"/>
  <c r="V87" i="77"/>
  <c r="V86" i="77"/>
  <c r="G85" i="77"/>
  <c r="V85" i="77" s="1"/>
  <c r="G84" i="77"/>
  <c r="J82" i="77"/>
  <c r="Y81" i="77" s="1"/>
  <c r="X83" i="77" s="1"/>
  <c r="Y80" i="77"/>
  <c r="G72" i="77"/>
  <c r="V71" i="77" s="1"/>
  <c r="G71" i="77"/>
  <c r="G70" i="77"/>
  <c r="V69" i="77" s="1"/>
  <c r="G68" i="77"/>
  <c r="V67" i="77" s="1"/>
  <c r="I65" i="77"/>
  <c r="X64" i="77" s="1"/>
  <c r="I62" i="77"/>
  <c r="X61" i="77" s="1"/>
  <c r="I59" i="77"/>
  <c r="X58" i="77" s="1"/>
  <c r="I56" i="77"/>
  <c r="X55" i="77" s="1"/>
  <c r="I53" i="77"/>
  <c r="X52" i="77" s="1"/>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E24" i="77"/>
  <c r="T24" i="77" s="1"/>
  <c r="X24" i="77" s="1"/>
  <c r="I7" i="77"/>
  <c r="T6" i="77"/>
  <c r="I6" i="77"/>
  <c r="R2" i="77"/>
  <c r="X103" i="76"/>
  <c r="I103" i="76"/>
  <c r="V102" i="76"/>
  <c r="V103" i="76" s="1"/>
  <c r="I102" i="76"/>
  <c r="I104" i="76" s="1"/>
  <c r="J104" i="76" s="1"/>
  <c r="G102" i="76"/>
  <c r="G103" i="76" s="1"/>
  <c r="I98" i="76"/>
  <c r="J98" i="76" s="1"/>
  <c r="E98" i="76"/>
  <c r="T97" i="76"/>
  <c r="I97" i="76"/>
  <c r="X96" i="76" s="1"/>
  <c r="E97" i="76"/>
  <c r="T96" i="76"/>
  <c r="T92" i="76"/>
  <c r="G92" i="76"/>
  <c r="V92" i="76" s="1"/>
  <c r="T91" i="76"/>
  <c r="G91" i="76"/>
  <c r="V91" i="76" s="1"/>
  <c r="T90" i="76"/>
  <c r="G90" i="76"/>
  <c r="V90" i="76" s="1"/>
  <c r="V87" i="76"/>
  <c r="V86" i="76"/>
  <c r="G85" i="76"/>
  <c r="G84" i="76"/>
  <c r="V83" i="76" s="1"/>
  <c r="J82" i="76"/>
  <c r="Y81" i="76" s="1"/>
  <c r="X83" i="76" s="1"/>
  <c r="J81" i="76"/>
  <c r="Y80" i="76"/>
  <c r="G72" i="76"/>
  <c r="G71" i="76"/>
  <c r="G70" i="76"/>
  <c r="G68" i="76"/>
  <c r="V67" i="76" s="1"/>
  <c r="I65" i="76"/>
  <c r="X64" i="76" s="1"/>
  <c r="I62" i="76"/>
  <c r="X61" i="76" s="1"/>
  <c r="I59" i="76"/>
  <c r="X58" i="76" s="1"/>
  <c r="I56" i="76"/>
  <c r="X55" i="76" s="1"/>
  <c r="I53" i="76"/>
  <c r="X52" i="76" s="1"/>
  <c r="T50" i="76"/>
  <c r="D50" i="76"/>
  <c r="E46" i="76" s="1"/>
  <c r="C50" i="76"/>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8" i="76"/>
  <c r="J36" i="76"/>
  <c r="J38" i="76" s="1"/>
  <c r="G32" i="76"/>
  <c r="T31" i="76"/>
  <c r="V32" i="76" s="1"/>
  <c r="D28" i="76"/>
  <c r="E23" i="76" s="1"/>
  <c r="I23" i="76" s="1"/>
  <c r="C28" i="76"/>
  <c r="I7" i="76"/>
  <c r="T6" i="76"/>
  <c r="I6" i="76"/>
  <c r="R2" i="76"/>
  <c r="X103" i="75"/>
  <c r="I103" i="75"/>
  <c r="V102" i="75"/>
  <c r="V103" i="75" s="1"/>
  <c r="I102" i="75"/>
  <c r="G102" i="75"/>
  <c r="G103" i="75" s="1"/>
  <c r="I98" i="75"/>
  <c r="X97" i="75" s="1"/>
  <c r="E98" i="75"/>
  <c r="T97" i="75"/>
  <c r="I97" i="75"/>
  <c r="X96" i="75" s="1"/>
  <c r="E97" i="75"/>
  <c r="T96" i="75"/>
  <c r="T92" i="75"/>
  <c r="G92" i="75"/>
  <c r="V92" i="75" s="1"/>
  <c r="T91" i="75"/>
  <c r="G91" i="75"/>
  <c r="V91" i="75" s="1"/>
  <c r="T90" i="75"/>
  <c r="G90" i="75"/>
  <c r="V90" i="75" s="1"/>
  <c r="V86" i="75"/>
  <c r="G85" i="75"/>
  <c r="G84" i="75"/>
  <c r="J82" i="75"/>
  <c r="J81" i="75"/>
  <c r="Y80" i="75"/>
  <c r="G72" i="75"/>
  <c r="G71" i="75"/>
  <c r="G70" i="75"/>
  <c r="G68" i="75"/>
  <c r="V67" i="75" s="1"/>
  <c r="I65" i="75"/>
  <c r="X64" i="75" s="1"/>
  <c r="I62" i="75"/>
  <c r="X61" i="75" s="1"/>
  <c r="I59" i="75"/>
  <c r="X58" i="75" s="1"/>
  <c r="I56" i="75"/>
  <c r="X55" i="75" s="1"/>
  <c r="I53" i="75"/>
  <c r="X52" i="75" s="1"/>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E43" i="75"/>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E20" i="75"/>
  <c r="I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I98" i="74"/>
  <c r="X97" i="74" s="1"/>
  <c r="Y97" i="74" s="1"/>
  <c r="E98" i="74"/>
  <c r="T97" i="74"/>
  <c r="I97" i="74"/>
  <c r="X96" i="74" s="1"/>
  <c r="E97" i="74"/>
  <c r="T96" i="74"/>
  <c r="T92" i="74"/>
  <c r="G92" i="74"/>
  <c r="V92" i="74" s="1"/>
  <c r="T91" i="74"/>
  <c r="G91" i="74"/>
  <c r="V91" i="74" s="1"/>
  <c r="T90" i="74"/>
  <c r="G90" i="74"/>
  <c r="V90" i="74" s="1"/>
  <c r="V86" i="74"/>
  <c r="G85" i="74"/>
  <c r="V85" i="74" s="1"/>
  <c r="G84" i="74"/>
  <c r="J82" i="74"/>
  <c r="Y81" i="74" s="1"/>
  <c r="Y80" i="74"/>
  <c r="G72" i="74"/>
  <c r="G71" i="74"/>
  <c r="G70" i="74"/>
  <c r="V69" i="74" s="1"/>
  <c r="G68" i="74"/>
  <c r="V67" i="74" s="1"/>
  <c r="I65" i="74"/>
  <c r="X64" i="74" s="1"/>
  <c r="I62" i="74"/>
  <c r="X61" i="74" s="1"/>
  <c r="I59" i="74"/>
  <c r="X58" i="74" s="1"/>
  <c r="I56" i="74"/>
  <c r="X55" i="74" s="1"/>
  <c r="I53" i="74"/>
  <c r="X52" i="74" s="1"/>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E20" i="74"/>
  <c r="I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I98" i="73"/>
  <c r="J98" i="73" s="1"/>
  <c r="E98" i="73"/>
  <c r="T97" i="73"/>
  <c r="I97" i="73"/>
  <c r="X96" i="73" s="1"/>
  <c r="E97" i="73"/>
  <c r="T96" i="73"/>
  <c r="T92" i="73"/>
  <c r="G92" i="73"/>
  <c r="V92" i="73" s="1"/>
  <c r="T91" i="73"/>
  <c r="G91" i="73"/>
  <c r="V91" i="73" s="1"/>
  <c r="T90" i="73"/>
  <c r="G90" i="73"/>
  <c r="V90" i="73" s="1"/>
  <c r="V87" i="73"/>
  <c r="G85" i="73"/>
  <c r="V85" i="73" s="1"/>
  <c r="G84" i="73"/>
  <c r="J82" i="73"/>
  <c r="Y81" i="73" s="1"/>
  <c r="J81" i="73"/>
  <c r="Y80" i="73"/>
  <c r="G72" i="73"/>
  <c r="G71" i="73"/>
  <c r="G70" i="73"/>
  <c r="G68" i="73"/>
  <c r="V67" i="73" s="1"/>
  <c r="I65" i="73"/>
  <c r="X64" i="73" s="1"/>
  <c r="I62" i="73"/>
  <c r="X61" i="73" s="1"/>
  <c r="I59" i="73"/>
  <c r="X58" i="73" s="1"/>
  <c r="I56" i="73"/>
  <c r="X55" i="73" s="1"/>
  <c r="I53" i="73"/>
  <c r="X52" i="73" s="1"/>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E24" i="73"/>
  <c r="I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I98" i="72"/>
  <c r="X97" i="72" s="1"/>
  <c r="Y97" i="72" s="1"/>
  <c r="E98" i="72"/>
  <c r="T97" i="72"/>
  <c r="I97" i="72"/>
  <c r="X96" i="72" s="1"/>
  <c r="E97" i="72"/>
  <c r="T96" i="72"/>
  <c r="T92" i="72"/>
  <c r="G92" i="72"/>
  <c r="V92" i="72" s="1"/>
  <c r="T91" i="72"/>
  <c r="G91" i="72"/>
  <c r="V91" i="72" s="1"/>
  <c r="T90" i="72"/>
  <c r="G90" i="72"/>
  <c r="V90" i="72" s="1"/>
  <c r="V86" i="72"/>
  <c r="G85" i="72"/>
  <c r="G84" i="72"/>
  <c r="V83" i="72" s="1"/>
  <c r="J82" i="72"/>
  <c r="Y81" i="72" s="1"/>
  <c r="J81" i="72"/>
  <c r="Y80" i="72"/>
  <c r="G72" i="72"/>
  <c r="G71" i="72"/>
  <c r="V70" i="72" s="1"/>
  <c r="G70" i="72"/>
  <c r="V69" i="72" s="1"/>
  <c r="G68" i="72"/>
  <c r="V67" i="72" s="1"/>
  <c r="I65" i="72"/>
  <c r="X64" i="72" s="1"/>
  <c r="I62" i="72"/>
  <c r="X61" i="72" s="1"/>
  <c r="I59" i="72"/>
  <c r="X58" i="72" s="1"/>
  <c r="I56" i="72"/>
  <c r="X55" i="72" s="1"/>
  <c r="I53" i="72"/>
  <c r="X52" i="72" s="1"/>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E27" i="72"/>
  <c r="I27" i="72" s="1"/>
  <c r="T26" i="72"/>
  <c r="X26" i="72" s="1"/>
  <c r="T25" i="72"/>
  <c r="X25" i="72" s="1"/>
  <c r="T24" i="72"/>
  <c r="X24" i="72" s="1"/>
  <c r="E24" i="72"/>
  <c r="I24" i="72" s="1"/>
  <c r="T23" i="72"/>
  <c r="X23" i="72" s="1"/>
  <c r="T22" i="72"/>
  <c r="X22" i="72" s="1"/>
  <c r="T21" i="72"/>
  <c r="X21" i="72" s="1"/>
  <c r="E21" i="72"/>
  <c r="I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I98" i="71"/>
  <c r="X97" i="71" s="1"/>
  <c r="E98" i="71"/>
  <c r="T97" i="71"/>
  <c r="I97" i="71"/>
  <c r="X96" i="71" s="1"/>
  <c r="E97" i="71"/>
  <c r="T96" i="71"/>
  <c r="T92" i="71"/>
  <c r="G92" i="71"/>
  <c r="V92" i="71" s="1"/>
  <c r="T91" i="71"/>
  <c r="G91" i="71"/>
  <c r="V91" i="71" s="1"/>
  <c r="T90" i="71"/>
  <c r="G90" i="71"/>
  <c r="V90" i="71" s="1"/>
  <c r="V86" i="71"/>
  <c r="G85" i="71"/>
  <c r="G84" i="71"/>
  <c r="V83" i="71" s="1"/>
  <c r="J82" i="71"/>
  <c r="Y81" i="71" s="1"/>
  <c r="X83" i="71" s="1"/>
  <c r="J81" i="71"/>
  <c r="Y80" i="71"/>
  <c r="G72" i="71"/>
  <c r="V71" i="71" s="1"/>
  <c r="G71" i="71"/>
  <c r="V70" i="71" s="1"/>
  <c r="G70" i="71"/>
  <c r="V69" i="71" s="1"/>
  <c r="G68" i="71"/>
  <c r="V67" i="71" s="1"/>
  <c r="I65" i="71"/>
  <c r="X64" i="71" s="1"/>
  <c r="I62" i="71"/>
  <c r="X61" i="71" s="1"/>
  <c r="I59" i="71"/>
  <c r="X58" i="71" s="1"/>
  <c r="I56" i="71"/>
  <c r="X55" i="71" s="1"/>
  <c r="I53" i="71"/>
  <c r="X52" i="71" s="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I98" i="70"/>
  <c r="J98" i="70" s="1"/>
  <c r="E98" i="70"/>
  <c r="T97" i="70"/>
  <c r="I97" i="70"/>
  <c r="X96" i="70" s="1"/>
  <c r="E97" i="70"/>
  <c r="T96" i="70"/>
  <c r="T92" i="70"/>
  <c r="G92" i="70"/>
  <c r="V92" i="70" s="1"/>
  <c r="T91" i="70"/>
  <c r="G91" i="70"/>
  <c r="V91" i="70" s="1"/>
  <c r="T90" i="70"/>
  <c r="G90" i="70"/>
  <c r="V90" i="70" s="1"/>
  <c r="V86" i="70"/>
  <c r="G85" i="70"/>
  <c r="G84" i="70"/>
  <c r="V83" i="70" s="1"/>
  <c r="J82" i="70"/>
  <c r="Y81" i="70" s="1"/>
  <c r="J81" i="70"/>
  <c r="Y80" i="70"/>
  <c r="G72" i="70"/>
  <c r="G71" i="70"/>
  <c r="V70" i="70" s="1"/>
  <c r="G70" i="70"/>
  <c r="V69" i="70" s="1"/>
  <c r="G68" i="70"/>
  <c r="V67" i="70" s="1"/>
  <c r="I65" i="70"/>
  <c r="X64" i="70" s="1"/>
  <c r="I62" i="70"/>
  <c r="X61" i="70" s="1"/>
  <c r="I59" i="70"/>
  <c r="X58" i="70" s="1"/>
  <c r="I56" i="70"/>
  <c r="X55" i="70" s="1"/>
  <c r="I53" i="70"/>
  <c r="X52" i="70" s="1"/>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E24" i="70"/>
  <c r="I24" i="70" s="1"/>
  <c r="T23" i="70"/>
  <c r="X23" i="70" s="1"/>
  <c r="T22" i="70"/>
  <c r="X22" i="70" s="1"/>
  <c r="T21" i="70"/>
  <c r="X21" i="70" s="1"/>
  <c r="E21" i="70"/>
  <c r="I21" i="70" s="1"/>
  <c r="T20" i="70"/>
  <c r="X20" i="70" s="1"/>
  <c r="E20" i="70"/>
  <c r="I20" i="70" s="1"/>
  <c r="T19" i="70"/>
  <c r="X19" i="70" s="1"/>
  <c r="T18" i="70"/>
  <c r="X18" i="70" s="1"/>
  <c r="T17" i="70"/>
  <c r="X17" i="70" s="1"/>
  <c r="T16" i="70"/>
  <c r="X16" i="70" s="1"/>
  <c r="T15" i="70"/>
  <c r="X15" i="70" s="1"/>
  <c r="T14" i="70"/>
  <c r="X14" i="70" s="1"/>
  <c r="E14" i="70"/>
  <c r="I14" i="70" s="1"/>
  <c r="T13" i="70"/>
  <c r="T12" i="70"/>
  <c r="X12" i="70" s="1"/>
  <c r="I7" i="70"/>
  <c r="T6" i="70"/>
  <c r="I6" i="70"/>
  <c r="R2" i="70"/>
  <c r="X103" i="69"/>
  <c r="I103" i="69"/>
  <c r="V102" i="69"/>
  <c r="V103" i="69" s="1"/>
  <c r="X102" i="69"/>
  <c r="I102" i="69"/>
  <c r="I104" i="69" s="1"/>
  <c r="J104" i="69" s="1"/>
  <c r="G102" i="69"/>
  <c r="G103" i="69" s="1"/>
  <c r="I98" i="69"/>
  <c r="X97" i="69" s="1"/>
  <c r="Y97" i="69" s="1"/>
  <c r="E98" i="69"/>
  <c r="T97" i="69"/>
  <c r="I97" i="69"/>
  <c r="X96" i="69" s="1"/>
  <c r="E97" i="69"/>
  <c r="T96" i="69"/>
  <c r="T92" i="69"/>
  <c r="G92" i="69"/>
  <c r="V92" i="69" s="1"/>
  <c r="T91" i="69"/>
  <c r="G91" i="69"/>
  <c r="V91" i="69" s="1"/>
  <c r="T90" i="69"/>
  <c r="G90" i="69"/>
  <c r="V90" i="69" s="1"/>
  <c r="V86" i="69"/>
  <c r="G85" i="69"/>
  <c r="G84" i="69"/>
  <c r="V83" i="69" s="1"/>
  <c r="J82" i="69"/>
  <c r="Y81" i="69" s="1"/>
  <c r="X83" i="69" s="1"/>
  <c r="J81" i="69"/>
  <c r="Y80" i="69"/>
  <c r="G72" i="69"/>
  <c r="V71" i="69" s="1"/>
  <c r="G71" i="69"/>
  <c r="V70" i="69" s="1"/>
  <c r="G70" i="69"/>
  <c r="V69" i="69" s="1"/>
  <c r="G68" i="69"/>
  <c r="V67" i="69" s="1"/>
  <c r="I65" i="69"/>
  <c r="X64" i="69" s="1"/>
  <c r="I62" i="69"/>
  <c r="X61" i="69" s="1"/>
  <c r="I59" i="69"/>
  <c r="X58" i="69" s="1"/>
  <c r="I56" i="69"/>
  <c r="X55" i="69" s="1"/>
  <c r="I53" i="69"/>
  <c r="X52" i="69" s="1"/>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4" i="69"/>
  <c r="T24" i="69" s="1"/>
  <c r="X24" i="69" s="1"/>
  <c r="E21" i="69"/>
  <c r="I21" i="69" s="1"/>
  <c r="E20" i="69"/>
  <c r="E17" i="69"/>
  <c r="T17" i="69" s="1"/>
  <c r="X17" i="69" s="1"/>
  <c r="E14" i="69"/>
  <c r="T14" i="69" s="1"/>
  <c r="X14" i="69" s="1"/>
  <c r="I7" i="69"/>
  <c r="T6" i="69"/>
  <c r="I6" i="69"/>
  <c r="R2" i="69"/>
  <c r="X103" i="68"/>
  <c r="I103" i="68"/>
  <c r="X102" i="68"/>
  <c r="I102" i="68"/>
  <c r="I104" i="68" s="1"/>
  <c r="J104" i="68" s="1"/>
  <c r="G102" i="68"/>
  <c r="G103" i="68" s="1"/>
  <c r="I98" i="68"/>
  <c r="X97" i="68" s="1"/>
  <c r="Y97" i="68" s="1"/>
  <c r="E98" i="68"/>
  <c r="I97" i="68"/>
  <c r="X96" i="68" s="1"/>
  <c r="E97" i="68"/>
  <c r="T96" i="68"/>
  <c r="T92" i="68"/>
  <c r="G92" i="68"/>
  <c r="V92" i="68" s="1"/>
  <c r="T91" i="68"/>
  <c r="G91" i="68"/>
  <c r="V91" i="68" s="1"/>
  <c r="T90" i="68"/>
  <c r="G90" i="68"/>
  <c r="V90" i="68" s="1"/>
  <c r="V86" i="68"/>
  <c r="G85" i="68"/>
  <c r="V85" i="68" s="1"/>
  <c r="G84" i="68"/>
  <c r="J82" i="68"/>
  <c r="Y81" i="68" s="1"/>
  <c r="X83" i="68" s="1"/>
  <c r="J81" i="68"/>
  <c r="Y80" i="68"/>
  <c r="G72" i="68"/>
  <c r="G71" i="68"/>
  <c r="G70" i="68"/>
  <c r="G68" i="68"/>
  <c r="V67" i="68" s="1"/>
  <c r="I65" i="68"/>
  <c r="X64" i="68" s="1"/>
  <c r="I62" i="68"/>
  <c r="X61" i="68" s="1"/>
  <c r="I59" i="68"/>
  <c r="X58" i="68" s="1"/>
  <c r="I56" i="68"/>
  <c r="X55" i="68" s="1"/>
  <c r="I53" i="68"/>
  <c r="X52" i="68" s="1"/>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J37" i="68"/>
  <c r="Y38" i="68"/>
  <c r="J36" i="68"/>
  <c r="J38" i="68" s="1"/>
  <c r="G32" i="68"/>
  <c r="T31" i="68"/>
  <c r="V32" i="68" s="1"/>
  <c r="D28" i="68"/>
  <c r="E23" i="68" s="1"/>
  <c r="C28" i="68"/>
  <c r="I7" i="68"/>
  <c r="T6" i="68"/>
  <c r="I6" i="68"/>
  <c r="R2" i="68"/>
  <c r="X103" i="67"/>
  <c r="I103" i="67"/>
  <c r="X102" i="67"/>
  <c r="I102" i="67"/>
  <c r="I104" i="67" s="1"/>
  <c r="J104" i="67" s="1"/>
  <c r="G102" i="67"/>
  <c r="G103" i="67" s="1"/>
  <c r="I98" i="67"/>
  <c r="X97" i="67" s="1"/>
  <c r="I97" i="67"/>
  <c r="X96" i="67" s="1"/>
  <c r="E97" i="67"/>
  <c r="T96" i="67"/>
  <c r="T92" i="67"/>
  <c r="G92" i="67"/>
  <c r="V92" i="67" s="1"/>
  <c r="T91" i="67"/>
  <c r="G91" i="67"/>
  <c r="V91" i="67" s="1"/>
  <c r="T90" i="67"/>
  <c r="G90" i="67"/>
  <c r="V90" i="67" s="1"/>
  <c r="V87" i="67"/>
  <c r="V86" i="67"/>
  <c r="G85" i="67"/>
  <c r="G84" i="67"/>
  <c r="V83" i="67" s="1"/>
  <c r="J82" i="67"/>
  <c r="Y81" i="67" s="1"/>
  <c r="X83" i="67" s="1"/>
  <c r="J81" i="67"/>
  <c r="Y80" i="67"/>
  <c r="G72" i="67"/>
  <c r="V71" i="67" s="1"/>
  <c r="G71" i="67"/>
  <c r="V70" i="67" s="1"/>
  <c r="G70" i="67"/>
  <c r="V69" i="67" s="1"/>
  <c r="G68" i="67"/>
  <c r="V67" i="67" s="1"/>
  <c r="I65" i="67"/>
  <c r="X64" i="67" s="1"/>
  <c r="I62" i="67"/>
  <c r="X61" i="67" s="1"/>
  <c r="I59" i="67"/>
  <c r="X58" i="67" s="1"/>
  <c r="I56" i="67"/>
  <c r="X55" i="67" s="1"/>
  <c r="I53" i="67"/>
  <c r="X52" i="67" s="1"/>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J37" i="67"/>
  <c r="Y38" i="67"/>
  <c r="J36" i="67"/>
  <c r="J38" i="67" s="1"/>
  <c r="G32" i="67"/>
  <c r="T31" i="67"/>
  <c r="V32" i="67" s="1"/>
  <c r="D28" i="67"/>
  <c r="E23" i="67" s="1"/>
  <c r="T23" i="67" s="1"/>
  <c r="X23" i="67" s="1"/>
  <c r="C28" i="67"/>
  <c r="I7" i="67"/>
  <c r="T6" i="67"/>
  <c r="I6" i="67"/>
  <c r="D90" i="67" s="1"/>
  <c r="R2" i="67"/>
  <c r="X103" i="66"/>
  <c r="I103" i="66"/>
  <c r="X102" i="66"/>
  <c r="I102" i="66"/>
  <c r="G102" i="66"/>
  <c r="G103" i="66" s="1"/>
  <c r="I98" i="66"/>
  <c r="X97" i="66" s="1"/>
  <c r="I97" i="66"/>
  <c r="X96" i="66" s="1"/>
  <c r="E97" i="66"/>
  <c r="T92" i="66"/>
  <c r="G92" i="66"/>
  <c r="V92" i="66" s="1"/>
  <c r="T91" i="66"/>
  <c r="G91" i="66"/>
  <c r="V91" i="66" s="1"/>
  <c r="T90" i="66"/>
  <c r="G90" i="66"/>
  <c r="V90" i="66" s="1"/>
  <c r="G85" i="66"/>
  <c r="V85" i="66" s="1"/>
  <c r="G84" i="66"/>
  <c r="V83" i="66" s="1"/>
  <c r="J82" i="66"/>
  <c r="Y81" i="66" s="1"/>
  <c r="X83" i="66" s="1"/>
  <c r="J81" i="66"/>
  <c r="Y80" i="66"/>
  <c r="G72" i="66"/>
  <c r="V71" i="66" s="1"/>
  <c r="G71" i="66"/>
  <c r="V70" i="66" s="1"/>
  <c r="G70" i="66"/>
  <c r="V69" i="66" s="1"/>
  <c r="G68" i="66"/>
  <c r="V67" i="66" s="1"/>
  <c r="I65" i="66"/>
  <c r="X64" i="66" s="1"/>
  <c r="I62" i="66"/>
  <c r="X61" i="66" s="1"/>
  <c r="I59" i="66"/>
  <c r="X58" i="66" s="1"/>
  <c r="I56" i="66"/>
  <c r="X55" i="66" s="1"/>
  <c r="I53" i="66"/>
  <c r="X52" i="66" s="1"/>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J37" i="66"/>
  <c r="J36" i="66"/>
  <c r="J38" i="66" s="1"/>
  <c r="G32" i="66"/>
  <c r="T31" i="66"/>
  <c r="V32" i="66" s="1"/>
  <c r="D28" i="66"/>
  <c r="E23" i="66" s="1"/>
  <c r="I23" i="66" s="1"/>
  <c r="C28" i="66"/>
  <c r="E27" i="66"/>
  <c r="I27" i="66" s="1"/>
  <c r="E14" i="66"/>
  <c r="I14" i="66" s="1"/>
  <c r="I7" i="66"/>
  <c r="T6" i="66"/>
  <c r="I6" i="66"/>
  <c r="D92" i="66" s="1"/>
  <c r="R2" i="66"/>
  <c r="E98" i="65"/>
  <c r="X103" i="65"/>
  <c r="I103" i="65"/>
  <c r="V102" i="65"/>
  <c r="V103" i="65" s="1"/>
  <c r="I102" i="65"/>
  <c r="G102" i="65"/>
  <c r="G103" i="65" s="1"/>
  <c r="I98" i="65"/>
  <c r="X97" i="65" s="1"/>
  <c r="T97" i="65"/>
  <c r="I97" i="65"/>
  <c r="X96" i="65" s="1"/>
  <c r="E97" i="65"/>
  <c r="T96" i="65"/>
  <c r="T92" i="65"/>
  <c r="G92" i="65"/>
  <c r="V92" i="65" s="1"/>
  <c r="T91" i="65"/>
  <c r="G91" i="65"/>
  <c r="V91" i="65" s="1"/>
  <c r="T90" i="65"/>
  <c r="G90" i="65"/>
  <c r="V90" i="65" s="1"/>
  <c r="V86" i="65"/>
  <c r="G85" i="65"/>
  <c r="G84" i="65"/>
  <c r="V83" i="65" s="1"/>
  <c r="J82" i="65"/>
  <c r="Y81" i="65" s="1"/>
  <c r="J81" i="65"/>
  <c r="Y80" i="65"/>
  <c r="G72" i="65"/>
  <c r="V71" i="65" s="1"/>
  <c r="G71" i="65"/>
  <c r="V70" i="65" s="1"/>
  <c r="G70" i="65"/>
  <c r="G68" i="65"/>
  <c r="V67" i="65" s="1"/>
  <c r="I65" i="65"/>
  <c r="X64" i="65" s="1"/>
  <c r="I62" i="65"/>
  <c r="X61" i="65" s="1"/>
  <c r="I59" i="65"/>
  <c r="X58" i="65" s="1"/>
  <c r="I56" i="65"/>
  <c r="X55" i="65" s="1"/>
  <c r="I53" i="65"/>
  <c r="X52" i="65" s="1"/>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E27" i="65"/>
  <c r="I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X103" i="64"/>
  <c r="I103" i="64"/>
  <c r="V102" i="64"/>
  <c r="V103" i="64" s="1"/>
  <c r="I102" i="64"/>
  <c r="I104" i="64" s="1"/>
  <c r="J104" i="64" s="1"/>
  <c r="G102" i="64"/>
  <c r="G103" i="64" s="1"/>
  <c r="I98" i="64"/>
  <c r="X97" i="64" s="1"/>
  <c r="Y97" i="64" s="1"/>
  <c r="E98" i="64"/>
  <c r="T97" i="64"/>
  <c r="I97" i="64"/>
  <c r="X96" i="64" s="1"/>
  <c r="T96" i="64"/>
  <c r="T92" i="64"/>
  <c r="G92" i="64"/>
  <c r="V92" i="64" s="1"/>
  <c r="T91" i="64"/>
  <c r="G91" i="64"/>
  <c r="V91" i="64" s="1"/>
  <c r="T90" i="64"/>
  <c r="G90" i="64"/>
  <c r="V90" i="64" s="1"/>
  <c r="V87" i="64"/>
  <c r="V86" i="64"/>
  <c r="G85" i="64"/>
  <c r="G84" i="64"/>
  <c r="J82" i="64"/>
  <c r="Y81" i="64" s="1"/>
  <c r="X83" i="64" s="1"/>
  <c r="J81" i="64"/>
  <c r="Y80" i="64"/>
  <c r="G72" i="64"/>
  <c r="G71" i="64"/>
  <c r="G70" i="64"/>
  <c r="G68" i="64"/>
  <c r="V67" i="64" s="1"/>
  <c r="I65" i="64"/>
  <c r="X64" i="64" s="1"/>
  <c r="I62" i="64"/>
  <c r="X61" i="64" s="1"/>
  <c r="I59" i="64"/>
  <c r="X58" i="64" s="1"/>
  <c r="I56" i="64"/>
  <c r="X55" i="64" s="1"/>
  <c r="I53" i="64"/>
  <c r="X52" i="64" s="1"/>
  <c r="T50" i="64"/>
  <c r="D50" i="64"/>
  <c r="E46" i="64" s="1"/>
  <c r="C50" i="64"/>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I98" i="63"/>
  <c r="X97" i="63" s="1"/>
  <c r="E98" i="63"/>
  <c r="T97" i="63"/>
  <c r="I97" i="63"/>
  <c r="X96" i="63" s="1"/>
  <c r="E97" i="63"/>
  <c r="T92" i="63"/>
  <c r="G92" i="63"/>
  <c r="V92" i="63" s="1"/>
  <c r="T91" i="63"/>
  <c r="G91" i="63"/>
  <c r="V91" i="63" s="1"/>
  <c r="T90" i="63"/>
  <c r="G90" i="63"/>
  <c r="V90" i="63" s="1"/>
  <c r="G85" i="63"/>
  <c r="V85" i="63" s="1"/>
  <c r="G84" i="63"/>
  <c r="V83" i="63" s="1"/>
  <c r="J82" i="63"/>
  <c r="Y81" i="63" s="1"/>
  <c r="X83" i="63" s="1"/>
  <c r="J81" i="63"/>
  <c r="Y80" i="63"/>
  <c r="G72" i="63"/>
  <c r="V71" i="63" s="1"/>
  <c r="G71" i="63"/>
  <c r="G70" i="63"/>
  <c r="V69" i="63" s="1"/>
  <c r="G68" i="63"/>
  <c r="V67" i="63" s="1"/>
  <c r="I65" i="63"/>
  <c r="X64" i="63" s="1"/>
  <c r="I62" i="63"/>
  <c r="X61" i="63" s="1"/>
  <c r="I59" i="63"/>
  <c r="X58" i="63" s="1"/>
  <c r="I56" i="63"/>
  <c r="X55" i="63" s="1"/>
  <c r="I53" i="63"/>
  <c r="X52" i="63" s="1"/>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J37" i="63"/>
  <c r="J38" i="63" s="1"/>
  <c r="J36" i="63"/>
  <c r="G32" i="63"/>
  <c r="T31" i="63"/>
  <c r="V32" i="63" s="1"/>
  <c r="D28" i="63"/>
  <c r="E23" i="63" s="1"/>
  <c r="T23" i="63" s="1"/>
  <c r="X23" i="63" s="1"/>
  <c r="C28" i="63"/>
  <c r="E27" i="63"/>
  <c r="I27" i="63" s="1"/>
  <c r="E17" i="63"/>
  <c r="I17" i="63" s="1"/>
  <c r="I7" i="63"/>
  <c r="T6" i="63"/>
  <c r="I6" i="63"/>
  <c r="R2" i="63"/>
  <c r="X103" i="62"/>
  <c r="I103" i="62"/>
  <c r="X102" i="62"/>
  <c r="I102" i="62"/>
  <c r="I104" i="62" s="1"/>
  <c r="J104" i="62" s="1"/>
  <c r="G102" i="62"/>
  <c r="G103" i="62" s="1"/>
  <c r="I98" i="62"/>
  <c r="X97" i="62" s="1"/>
  <c r="I97" i="62"/>
  <c r="X96" i="62" s="1"/>
  <c r="E97" i="62"/>
  <c r="T96" i="62"/>
  <c r="T92" i="62"/>
  <c r="G92" i="62"/>
  <c r="V92" i="62" s="1"/>
  <c r="T91" i="62"/>
  <c r="G91" i="62"/>
  <c r="V91" i="62" s="1"/>
  <c r="T90" i="62"/>
  <c r="G90" i="62"/>
  <c r="V90" i="62" s="1"/>
  <c r="V86" i="62"/>
  <c r="G85" i="62"/>
  <c r="G84" i="62"/>
  <c r="V83" i="62" s="1"/>
  <c r="J82" i="62"/>
  <c r="Y81" i="62" s="1"/>
  <c r="X83" i="62" s="1"/>
  <c r="J81" i="62"/>
  <c r="Y80" i="62"/>
  <c r="G72" i="62"/>
  <c r="V71" i="62" s="1"/>
  <c r="G71" i="62"/>
  <c r="V70" i="62" s="1"/>
  <c r="G70" i="62"/>
  <c r="V69" i="62" s="1"/>
  <c r="G68" i="62"/>
  <c r="V67" i="62" s="1"/>
  <c r="I65" i="62"/>
  <c r="X64" i="62" s="1"/>
  <c r="I62" i="62"/>
  <c r="X61" i="62" s="1"/>
  <c r="I59" i="62"/>
  <c r="X58" i="62" s="1"/>
  <c r="I56" i="62"/>
  <c r="X55" i="62" s="1"/>
  <c r="I53" i="62"/>
  <c r="X52" i="62" s="1"/>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J37"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I98" i="61"/>
  <c r="J98" i="61" s="1"/>
  <c r="E98" i="61"/>
  <c r="I97" i="61"/>
  <c r="X96" i="61" s="1"/>
  <c r="E97" i="61"/>
  <c r="T92" i="61"/>
  <c r="G92" i="61"/>
  <c r="V92" i="61" s="1"/>
  <c r="T91" i="61"/>
  <c r="G91" i="61"/>
  <c r="V91" i="61" s="1"/>
  <c r="T90" i="61"/>
  <c r="G90" i="61"/>
  <c r="V90" i="61" s="1"/>
  <c r="V87" i="61"/>
  <c r="V86" i="61"/>
  <c r="G85" i="61"/>
  <c r="G84" i="61"/>
  <c r="J82" i="61"/>
  <c r="Y81" i="61" s="1"/>
  <c r="J81" i="61"/>
  <c r="Y80" i="61"/>
  <c r="G72" i="61"/>
  <c r="V71" i="61" s="1"/>
  <c r="G71" i="61"/>
  <c r="V70" i="61" s="1"/>
  <c r="G70" i="61"/>
  <c r="G68" i="61"/>
  <c r="V67" i="61" s="1"/>
  <c r="I65" i="61"/>
  <c r="X64" i="61" s="1"/>
  <c r="I62" i="61"/>
  <c r="X61" i="61" s="1"/>
  <c r="I59" i="61"/>
  <c r="X58" i="61" s="1"/>
  <c r="I56" i="61"/>
  <c r="X55" i="61" s="1"/>
  <c r="I53" i="61"/>
  <c r="X52" i="61" s="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J37" i="61"/>
  <c r="Y38" i="61"/>
  <c r="J36" i="61"/>
  <c r="J38" i="61" s="1"/>
  <c r="G32" i="61"/>
  <c r="T31" i="61"/>
  <c r="V32" i="61" s="1"/>
  <c r="D28" i="61"/>
  <c r="E23" i="61" s="1"/>
  <c r="I23" i="61" s="1"/>
  <c r="C28" i="61"/>
  <c r="E24" i="61"/>
  <c r="I24" i="61" s="1"/>
  <c r="T23" i="61"/>
  <c r="X23" i="61" s="1"/>
  <c r="E14" i="61"/>
  <c r="I14" i="61" s="1"/>
  <c r="I7" i="61"/>
  <c r="T6" i="61"/>
  <c r="I6" i="61"/>
  <c r="R2" i="61"/>
  <c r="X103" i="60"/>
  <c r="I103" i="60"/>
  <c r="V102" i="60"/>
  <c r="V103" i="60" s="1"/>
  <c r="I102" i="60"/>
  <c r="G102" i="60"/>
  <c r="G103" i="60" s="1"/>
  <c r="I98" i="60"/>
  <c r="E98" i="60"/>
  <c r="I97" i="60"/>
  <c r="T92" i="60"/>
  <c r="G92" i="60"/>
  <c r="V92" i="60" s="1"/>
  <c r="T91" i="60"/>
  <c r="G91" i="60"/>
  <c r="V91" i="60" s="1"/>
  <c r="T90" i="60"/>
  <c r="G90" i="60"/>
  <c r="V90" i="60" s="1"/>
  <c r="V87" i="60"/>
  <c r="V86" i="60"/>
  <c r="G85" i="60"/>
  <c r="V85" i="60" s="1"/>
  <c r="G84" i="60"/>
  <c r="V83" i="60" s="1"/>
  <c r="J82" i="60"/>
  <c r="Y81" i="60" s="1"/>
  <c r="J81" i="60"/>
  <c r="Y80" i="60"/>
  <c r="G72" i="60"/>
  <c r="G71" i="60"/>
  <c r="V70" i="60" s="1"/>
  <c r="G70" i="60"/>
  <c r="V69" i="60" s="1"/>
  <c r="G68" i="60"/>
  <c r="V67" i="60" s="1"/>
  <c r="I65" i="60"/>
  <c r="X64" i="60" s="1"/>
  <c r="I62" i="60"/>
  <c r="X61" i="60" s="1"/>
  <c r="I59" i="60"/>
  <c r="X58" i="60" s="1"/>
  <c r="I56" i="60"/>
  <c r="X55" i="60" s="1"/>
  <c r="I53" i="60"/>
  <c r="X52" i="60" s="1"/>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I98" i="59"/>
  <c r="J98" i="59" s="1"/>
  <c r="E98" i="59"/>
  <c r="I97" i="59"/>
  <c r="X96" i="59" s="1"/>
  <c r="T92" i="59"/>
  <c r="G92" i="59"/>
  <c r="V92" i="59" s="1"/>
  <c r="T91" i="59"/>
  <c r="G91" i="59"/>
  <c r="V91" i="59" s="1"/>
  <c r="T90" i="59"/>
  <c r="G90" i="59"/>
  <c r="V90" i="59" s="1"/>
  <c r="V87" i="59"/>
  <c r="G85" i="59"/>
  <c r="V85" i="59" s="1"/>
  <c r="G84" i="59"/>
  <c r="V83" i="59" s="1"/>
  <c r="Y81" i="59"/>
  <c r="X83" i="59" s="1"/>
  <c r="J81" i="59"/>
  <c r="Y80" i="59"/>
  <c r="G72" i="59"/>
  <c r="V71" i="59" s="1"/>
  <c r="G71" i="59"/>
  <c r="V70" i="59" s="1"/>
  <c r="G70" i="59"/>
  <c r="V69" i="59" s="1"/>
  <c r="G68" i="59"/>
  <c r="V67" i="59" s="1"/>
  <c r="I65" i="59"/>
  <c r="X64" i="59" s="1"/>
  <c r="I62" i="59"/>
  <c r="X61" i="59" s="1"/>
  <c r="I59" i="59"/>
  <c r="X58" i="59" s="1"/>
  <c r="I56" i="59"/>
  <c r="X55" i="59" s="1"/>
  <c r="I53" i="59"/>
  <c r="X52" i="59" s="1"/>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R2" i="59"/>
  <c r="X103" i="58"/>
  <c r="I103" i="58"/>
  <c r="V102" i="58"/>
  <c r="V103" i="58" s="1"/>
  <c r="I102" i="58"/>
  <c r="I104" i="58" s="1"/>
  <c r="J104" i="58" s="1"/>
  <c r="G102" i="58"/>
  <c r="G103" i="58" s="1"/>
  <c r="I98" i="58"/>
  <c r="X97" i="58" s="1"/>
  <c r="Y97" i="58" s="1"/>
  <c r="E98" i="58"/>
  <c r="I97" i="58"/>
  <c r="X96" i="58" s="1"/>
  <c r="E97" i="58"/>
  <c r="T92" i="58"/>
  <c r="G92" i="58"/>
  <c r="V92" i="58" s="1"/>
  <c r="T91" i="58"/>
  <c r="G91" i="58"/>
  <c r="V91" i="58" s="1"/>
  <c r="T90" i="58"/>
  <c r="G90" i="58"/>
  <c r="V90" i="58" s="1"/>
  <c r="V87" i="58"/>
  <c r="V86" i="58"/>
  <c r="G85" i="58"/>
  <c r="V85" i="58" s="1"/>
  <c r="G84" i="58"/>
  <c r="V83" i="58" s="1"/>
  <c r="J82" i="58"/>
  <c r="Y81" i="58" s="1"/>
  <c r="J81" i="58"/>
  <c r="Y80" i="58"/>
  <c r="G72" i="58"/>
  <c r="G71" i="58"/>
  <c r="V70" i="58" s="1"/>
  <c r="G70" i="58"/>
  <c r="V69" i="58" s="1"/>
  <c r="G68" i="58"/>
  <c r="V67" i="58" s="1"/>
  <c r="I65" i="58"/>
  <c r="X64" i="58" s="1"/>
  <c r="I62" i="58"/>
  <c r="X61" i="58" s="1"/>
  <c r="I59" i="58"/>
  <c r="X58" i="58" s="1"/>
  <c r="I56" i="58"/>
  <c r="X55" i="58" s="1"/>
  <c r="I53" i="58"/>
  <c r="X52" i="58" s="1"/>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M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M57" i="57"/>
  <c r="L57" i="57"/>
  <c r="F57" i="57"/>
  <c r="E57" i="57"/>
  <c r="E128" i="57" s="1"/>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K92" i="56"/>
  <c r="L92" i="56" s="1"/>
  <c r="K54" i="56"/>
  <c r="D44" i="56"/>
  <c r="C44" i="56"/>
  <c r="D43" i="56"/>
  <c r="C43" i="56"/>
  <c r="D42" i="56"/>
  <c r="C42" i="56"/>
  <c r="D41" i="56"/>
  <c r="C41" i="56"/>
  <c r="D40" i="56"/>
  <c r="C40" i="56"/>
  <c r="D39" i="56"/>
  <c r="C39" i="56"/>
  <c r="I31" i="56"/>
  <c r="E135" i="56"/>
  <c r="I135" i="56" s="1"/>
  <c r="D12" i="56"/>
  <c r="D58" i="56" s="1"/>
  <c r="C12" i="56"/>
  <c r="C58" i="56" s="1"/>
  <c r="D11" i="56"/>
  <c r="D37" i="56" s="1"/>
  <c r="C11" i="56"/>
  <c r="C37" i="56" s="1"/>
  <c r="I10" i="56"/>
  <c r="H9" i="56"/>
  <c r="H8" i="56"/>
  <c r="C8" i="56"/>
  <c r="A3"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X96" i="60" l="1"/>
  <c r="Y96" i="60" s="1"/>
  <c r="J97" i="60"/>
  <c r="J31" i="70"/>
  <c r="J31" i="63"/>
  <c r="Y31" i="63" s="1"/>
  <c r="Y32" i="63" s="1"/>
  <c r="J97" i="70"/>
  <c r="J97" i="67"/>
  <c r="J102" i="101"/>
  <c r="Y50" i="96"/>
  <c r="Y103" i="65"/>
  <c r="I84" i="65"/>
  <c r="J31" i="59"/>
  <c r="Y31" i="59" s="1"/>
  <c r="Y32" i="59" s="1"/>
  <c r="X83" i="61"/>
  <c r="J31" i="73"/>
  <c r="Y31" i="73" s="1"/>
  <c r="Y32" i="73" s="1"/>
  <c r="Y23" i="75"/>
  <c r="J31" i="65"/>
  <c r="Y24" i="99"/>
  <c r="J97" i="101"/>
  <c r="J31" i="74"/>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J20" i="104"/>
  <c r="Y20" i="70"/>
  <c r="Y20" i="104"/>
  <c r="J47" i="105"/>
  <c r="J31" i="58"/>
  <c r="Y21" i="70"/>
  <c r="Y17" i="71"/>
  <c r="J24" i="87"/>
  <c r="J97" i="69"/>
  <c r="E12" i="66"/>
  <c r="I12" i="66" s="1"/>
  <c r="T20" i="58"/>
  <c r="X20" i="58" s="1"/>
  <c r="X83" i="58"/>
  <c r="I84" i="68"/>
  <c r="I84" i="70"/>
  <c r="J97" i="80"/>
  <c r="J31" i="60"/>
  <c r="Y26" i="71"/>
  <c r="J20" i="84"/>
  <c r="J31" i="86"/>
  <c r="Y23" i="91"/>
  <c r="J31" i="104"/>
  <c r="Y31" i="104" s="1"/>
  <c r="Y32" i="104" s="1"/>
  <c r="J26" i="100"/>
  <c r="Y18" i="73"/>
  <c r="Y20" i="84"/>
  <c r="Y24" i="91"/>
  <c r="D92" i="100"/>
  <c r="Y19" i="73"/>
  <c r="Y22" i="84"/>
  <c r="Y24" i="78"/>
  <c r="Y22" i="73"/>
  <c r="J103" i="83"/>
  <c r="J23" i="84"/>
  <c r="Y21" i="65"/>
  <c r="Y23" i="73"/>
  <c r="J46" i="68"/>
  <c r="J24" i="73"/>
  <c r="Y22" i="83"/>
  <c r="Y24" i="89"/>
  <c r="Y26" i="100"/>
  <c r="J24" i="89"/>
  <c r="Y50" i="60"/>
  <c r="Y22" i="65"/>
  <c r="Y15" i="71"/>
  <c r="J97" i="76"/>
  <c r="Y23" i="83"/>
  <c r="J21" i="88"/>
  <c r="J47" i="89"/>
  <c r="J31" i="90"/>
  <c r="Y31" i="90" s="1"/>
  <c r="Y32" i="90" s="1"/>
  <c r="J43" i="93"/>
  <c r="J27" i="100"/>
  <c r="J46" i="100"/>
  <c r="Y50" i="65"/>
  <c r="Y103" i="64"/>
  <c r="J21" i="72"/>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J20" i="70"/>
  <c r="Y24" i="71"/>
  <c r="J31" i="75"/>
  <c r="Y31" i="75" s="1"/>
  <c r="Y32" i="75" s="1"/>
  <c r="J23" i="80"/>
  <c r="J31" i="87"/>
  <c r="Y31" i="87" s="1"/>
  <c r="Y32" i="87" s="1"/>
  <c r="J31" i="93"/>
  <c r="Y31" i="93" s="1"/>
  <c r="Y32" i="93" s="1"/>
  <c r="Y17" i="100"/>
  <c r="Y20" i="103"/>
  <c r="Y103" i="91"/>
  <c r="Y102" i="69"/>
  <c r="Y19" i="97"/>
  <c r="Y23" i="60"/>
  <c r="J31" i="61"/>
  <c r="Y27" i="80"/>
  <c r="J31" i="81"/>
  <c r="Y20" i="83"/>
  <c r="X83" i="87"/>
  <c r="Y22" i="89"/>
  <c r="Y25" i="96"/>
  <c r="J31" i="98"/>
  <c r="Y31" i="98" s="1"/>
  <c r="Y32" i="98" s="1"/>
  <c r="Y22" i="99"/>
  <c r="Y17" i="103"/>
  <c r="Y18" i="104"/>
  <c r="D90" i="59"/>
  <c r="Y103" i="71"/>
  <c r="Y20" i="81"/>
  <c r="Y17" i="94"/>
  <c r="Y24" i="60"/>
  <c r="J31" i="64"/>
  <c r="Y31" i="64" s="1"/>
  <c r="Y32" i="64" s="1"/>
  <c r="Y21" i="75"/>
  <c r="J21" i="86"/>
  <c r="Y21" i="87"/>
  <c r="J20" i="88"/>
  <c r="Y21" i="91"/>
  <c r="X83" i="91"/>
  <c r="J24" i="94"/>
  <c r="Y23" i="95"/>
  <c r="Y23" i="67"/>
  <c r="J31" i="68"/>
  <c r="D90" i="68"/>
  <c r="J17" i="71"/>
  <c r="Y17" i="73"/>
  <c r="Y22" i="75"/>
  <c r="Y21" i="83"/>
  <c r="J97" i="84"/>
  <c r="Y21" i="86"/>
  <c r="Y103" i="86"/>
  <c r="I84" i="87"/>
  <c r="J84" i="87" s="1"/>
  <c r="Y20" i="88"/>
  <c r="Y23" i="89"/>
  <c r="Y22" i="91"/>
  <c r="I84" i="91"/>
  <c r="J84" i="91" s="1"/>
  <c r="J24" i="95"/>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2" i="103"/>
  <c r="V103" i="103" s="1"/>
  <c r="Y103" i="103" s="1"/>
  <c r="J21" i="104"/>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J18" i="78"/>
  <c r="Y18" i="60"/>
  <c r="J20" i="94"/>
  <c r="Y50" i="94"/>
  <c r="Y19" i="96"/>
  <c r="Y22" i="97"/>
  <c r="J103" i="97"/>
  <c r="Y23" i="98"/>
  <c r="Y18" i="100"/>
  <c r="D92" i="104"/>
  <c r="D90" i="87"/>
  <c r="Y17" i="98"/>
  <c r="Y15" i="60"/>
  <c r="Y20" i="58"/>
  <c r="D92" i="91"/>
  <c r="Y23" i="81"/>
  <c r="Y17" i="75"/>
  <c r="Y50" i="75"/>
  <c r="Y19" i="78"/>
  <c r="Y50" i="78"/>
  <c r="Y22" i="80"/>
  <c r="J31" i="82"/>
  <c r="Y31" i="82" s="1"/>
  <c r="Y32" i="82" s="1"/>
  <c r="Y17" i="91"/>
  <c r="Y20" i="94"/>
  <c r="Y20" i="96"/>
  <c r="Y23" i="97"/>
  <c r="J24" i="98"/>
  <c r="Y19" i="100"/>
  <c r="Y15" i="80"/>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20" i="75"/>
  <c r="J102" i="75"/>
  <c r="J21" i="78"/>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J120" i="107"/>
  <c r="J124" i="107" s="1"/>
  <c r="M7" i="54" s="1"/>
  <c r="Z7" i="54" s="1"/>
  <c r="L7" i="54"/>
  <c r="S7" i="54" s="1"/>
  <c r="W7" i="54" s="1"/>
  <c r="J126" i="107"/>
  <c r="K7" i="54"/>
  <c r="E24" i="104"/>
  <c r="I24" i="104" s="1"/>
  <c r="E27" i="104"/>
  <c r="I27" i="104" s="1"/>
  <c r="E14" i="104"/>
  <c r="I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E17" i="102"/>
  <c r="I17" i="102" s="1"/>
  <c r="J17" i="102" s="1"/>
  <c r="E18" i="102"/>
  <c r="T18" i="102" s="1"/>
  <c r="X18" i="102" s="1"/>
  <c r="E20" i="102"/>
  <c r="T20" i="102" s="1"/>
  <c r="X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E20" i="99"/>
  <c r="I20" i="99" s="1"/>
  <c r="J20" i="99" s="1"/>
  <c r="E21" i="99"/>
  <c r="I21" i="99" s="1"/>
  <c r="J21" i="99" s="1"/>
  <c r="E14" i="98"/>
  <c r="I14" i="98" s="1"/>
  <c r="E17" i="98"/>
  <c r="I17" i="98" s="1"/>
  <c r="J17" i="98" s="1"/>
  <c r="E24" i="96"/>
  <c r="I24" i="96" s="1"/>
  <c r="J24" i="96" s="1"/>
  <c r="E14" i="96"/>
  <c r="I14" i="96" s="1"/>
  <c r="E14" i="95"/>
  <c r="I14" i="95" s="1"/>
  <c r="E27" i="94"/>
  <c r="I27" i="94" s="1"/>
  <c r="E18" i="94"/>
  <c r="I18" i="94" s="1"/>
  <c r="J18" i="94" s="1"/>
  <c r="E24" i="93"/>
  <c r="I24" i="93" s="1"/>
  <c r="J24" i="93" s="1"/>
  <c r="E27" i="93"/>
  <c r="I27" i="93" s="1"/>
  <c r="E14" i="93"/>
  <c r="I14" i="93" s="1"/>
  <c r="E20" i="89"/>
  <c r="I20" i="89" s="1"/>
  <c r="E24" i="88"/>
  <c r="I24" i="88" s="1"/>
  <c r="E17" i="86"/>
  <c r="I17" i="86" s="1"/>
  <c r="J17" i="86" s="1"/>
  <c r="E14" i="83"/>
  <c r="I14" i="83" s="1"/>
  <c r="E20" i="83"/>
  <c r="I20" i="83" s="1"/>
  <c r="J20" i="83" s="1"/>
  <c r="E21" i="83"/>
  <c r="I21" i="83" s="1"/>
  <c r="J21" i="83" s="1"/>
  <c r="E24" i="82"/>
  <c r="I24" i="82" s="1"/>
  <c r="J24" i="82" s="1"/>
  <c r="E14" i="82"/>
  <c r="I14" i="82" s="1"/>
  <c r="E21" i="81"/>
  <c r="I21" i="81" s="1"/>
  <c r="J21" i="81" s="1"/>
  <c r="E27" i="81"/>
  <c r="I27" i="81" s="1"/>
  <c r="E14" i="81"/>
  <c r="I14" i="81" s="1"/>
  <c r="E18" i="81"/>
  <c r="I18" i="81" s="1"/>
  <c r="J18" i="81" s="1"/>
  <c r="E24" i="81"/>
  <c r="I24" i="81" s="1"/>
  <c r="J24" i="81" s="1"/>
  <c r="E27" i="80"/>
  <c r="I27" i="80" s="1"/>
  <c r="J27" i="80" s="1"/>
  <c r="E14" i="80"/>
  <c r="I14" i="80" s="1"/>
  <c r="E14" i="78"/>
  <c r="I14" i="78" s="1"/>
  <c r="E47" i="75"/>
  <c r="E27" i="75"/>
  <c r="I27" i="75" s="1"/>
  <c r="E24" i="75"/>
  <c r="I24" i="75" s="1"/>
  <c r="J24" i="75" s="1"/>
  <c r="E14" i="75"/>
  <c r="I14" i="75" s="1"/>
  <c r="E17" i="75"/>
  <c r="I17" i="75" s="1"/>
  <c r="J17" i="75" s="1"/>
  <c r="E18" i="75"/>
  <c r="I18" i="75" s="1"/>
  <c r="J18" i="75" s="1"/>
  <c r="E24" i="74"/>
  <c r="I24" i="74" s="1"/>
  <c r="J24" i="74" s="1"/>
  <c r="E14" i="73"/>
  <c r="I14" i="73" s="1"/>
  <c r="E43" i="72"/>
  <c r="E14" i="72"/>
  <c r="I14" i="72" s="1"/>
  <c r="E27" i="70"/>
  <c r="I27" i="70" s="1"/>
  <c r="J109" i="108"/>
  <c r="I19" i="54"/>
  <c r="Q19" i="54"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E18" i="62"/>
  <c r="T18" i="62" s="1"/>
  <c r="X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J20" i="89"/>
  <c r="D92" i="89"/>
  <c r="Y97" i="89"/>
  <c r="Y25" i="89"/>
  <c r="J27" i="89"/>
  <c r="Y20" i="89"/>
  <c r="Y50" i="89"/>
  <c r="J21" i="89"/>
  <c r="J102" i="103"/>
  <c r="Y38" i="103"/>
  <c r="J103" i="103"/>
  <c r="E24" i="103"/>
  <c r="I24" i="103" s="1"/>
  <c r="J24" i="103" s="1"/>
  <c r="D92" i="103"/>
  <c r="I104" i="103"/>
  <c r="J104" i="103" s="1"/>
  <c r="X97" i="103"/>
  <c r="Y97" i="103" s="1"/>
  <c r="Y26" i="103"/>
  <c r="Y23" i="103"/>
  <c r="J27" i="103"/>
  <c r="X96" i="103"/>
  <c r="Y96" i="103" s="1"/>
  <c r="Y25" i="103"/>
  <c r="Y27" i="103"/>
  <c r="Y24" i="103"/>
  <c r="Y15" i="103"/>
  <c r="J23" i="103"/>
  <c r="J46" i="103"/>
  <c r="J97" i="104"/>
  <c r="X83" i="104"/>
  <c r="Y83" i="104" s="1"/>
  <c r="V102" i="104"/>
  <c r="V103" i="104" s="1"/>
  <c r="Y103" i="104" s="1"/>
  <c r="D90" i="104"/>
  <c r="Y15" i="104"/>
  <c r="J23" i="104"/>
  <c r="Y96" i="104"/>
  <c r="J24" i="104"/>
  <c r="Y27" i="104"/>
  <c r="I84" i="104"/>
  <c r="J84" i="104" s="1"/>
  <c r="Y24" i="104"/>
  <c r="Y97" i="104"/>
  <c r="Y25" i="104"/>
  <c r="Y26" i="104"/>
  <c r="J102" i="104"/>
  <c r="Y13" i="104"/>
  <c r="J27" i="104"/>
  <c r="J46" i="104"/>
  <c r="Y17" i="104"/>
  <c r="Y15" i="105"/>
  <c r="J98" i="105"/>
  <c r="D90" i="105"/>
  <c r="Y18" i="105"/>
  <c r="X102"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Y18" i="102"/>
  <c r="J31" i="102"/>
  <c r="D92" i="102"/>
  <c r="X83" i="101"/>
  <c r="Y83" i="101" s="1"/>
  <c r="J98" i="101"/>
  <c r="E27" i="101"/>
  <c r="I84" i="101"/>
  <c r="J84" i="101" s="1"/>
  <c r="Y97" i="101"/>
  <c r="T14" i="101"/>
  <c r="X14" i="101" s="1"/>
  <c r="Y14" i="101" s="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83" i="99" s="1"/>
  <c r="Y97" i="99"/>
  <c r="Y50" i="99"/>
  <c r="J27" i="99"/>
  <c r="Y27" i="99"/>
  <c r="J46" i="99"/>
  <c r="Y13" i="99"/>
  <c r="D90" i="99"/>
  <c r="J23" i="99"/>
  <c r="J97" i="99"/>
  <c r="J102" i="99"/>
  <c r="Y15" i="99"/>
  <c r="Y25" i="99"/>
  <c r="Y26" i="99"/>
  <c r="Y17" i="99"/>
  <c r="J18" i="99"/>
  <c r="Y38" i="99"/>
  <c r="D92" i="99"/>
  <c r="Y18" i="99"/>
  <c r="Y25" i="98"/>
  <c r="Y102" i="98"/>
  <c r="X104" i="98"/>
  <c r="Y104" i="98" s="1"/>
  <c r="J46" i="98"/>
  <c r="E15" i="98"/>
  <c r="I15" i="98" s="1"/>
  <c r="J15" i="98" s="1"/>
  <c r="J102" i="98"/>
  <c r="J25" i="98"/>
  <c r="Y26" i="98"/>
  <c r="J27" i="98"/>
  <c r="I84" i="98"/>
  <c r="J84" i="98" s="1"/>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J47" i="95"/>
  <c r="J20" i="95"/>
  <c r="Y50" i="95"/>
  <c r="I84" i="94"/>
  <c r="J84" i="94" s="1"/>
  <c r="Y25" i="94"/>
  <c r="J27" i="94"/>
  <c r="E14" i="94"/>
  <c r="I14" i="94" s="1"/>
  <c r="J14" i="94" s="1"/>
  <c r="J102" i="94"/>
  <c r="J97" i="94"/>
  <c r="Y24" i="94"/>
  <c r="X83" i="94"/>
  <c r="Y83" i="94" s="1"/>
  <c r="Y97" i="94"/>
  <c r="Y26" i="94"/>
  <c r="J98" i="94"/>
  <c r="Y27" i="94"/>
  <c r="J46" i="94"/>
  <c r="J23" i="94"/>
  <c r="Y96" i="94"/>
  <c r="Y15" i="94"/>
  <c r="D90" i="94"/>
  <c r="X104" i="93"/>
  <c r="Y104" i="93" s="1"/>
  <c r="J27" i="93"/>
  <c r="V102" i="93"/>
  <c r="V103" i="93" s="1"/>
  <c r="Y103" i="93" s="1"/>
  <c r="Y27" i="93"/>
  <c r="J46" i="93"/>
  <c r="D90" i="93"/>
  <c r="Y13" i="93"/>
  <c r="J23" i="93"/>
  <c r="Y25" i="93"/>
  <c r="J102" i="93"/>
  <c r="D92" i="93"/>
  <c r="Y26" i="93"/>
  <c r="I104" i="93"/>
  <c r="J104" i="93" s="1"/>
  <c r="Y15" i="93"/>
  <c r="Y17" i="93"/>
  <c r="Y18" i="93"/>
  <c r="Y19" i="93"/>
  <c r="J20" i="93"/>
  <c r="Y22" i="93"/>
  <c r="Y50" i="93"/>
  <c r="Y20" i="93"/>
  <c r="Y21" i="93"/>
  <c r="Y23" i="93"/>
  <c r="I84" i="93"/>
  <c r="J84" i="93" s="1"/>
  <c r="Y15" i="92"/>
  <c r="Y96" i="92"/>
  <c r="Y17" i="92"/>
  <c r="Y50" i="92"/>
  <c r="J97" i="92"/>
  <c r="D92" i="92"/>
  <c r="Y18" i="92"/>
  <c r="Y19" i="92"/>
  <c r="I84" i="92"/>
  <c r="J84" i="92" s="1"/>
  <c r="Y20" i="92"/>
  <c r="Y21" i="92"/>
  <c r="Y22" i="92"/>
  <c r="J102" i="92"/>
  <c r="Y23" i="92"/>
  <c r="D90" i="92"/>
  <c r="Y26" i="92"/>
  <c r="I104" i="92"/>
  <c r="J104" i="92" s="1"/>
  <c r="J23" i="92"/>
  <c r="Y24" i="92"/>
  <c r="Y25" i="92"/>
  <c r="Y27" i="92"/>
  <c r="J46" i="92"/>
  <c r="J42" i="91"/>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38" i="87"/>
  <c r="D92" i="87"/>
  <c r="Y22" i="87"/>
  <c r="Y23" i="87"/>
  <c r="I104" i="86"/>
  <c r="J104" i="86" s="1"/>
  <c r="E23" i="86"/>
  <c r="I23" i="86" s="1"/>
  <c r="J23" i="86" s="1"/>
  <c r="X83" i="86"/>
  <c r="Y83" i="86" s="1"/>
  <c r="X97" i="86"/>
  <c r="Y97" i="86" s="1"/>
  <c r="J48" i="86"/>
  <c r="Y26" i="86"/>
  <c r="Y27" i="86"/>
  <c r="J25" i="86"/>
  <c r="J42"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97" i="84" s="1"/>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83" i="83" s="1"/>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J27" i="79"/>
  <c r="D92" i="79"/>
  <c r="Y19" i="79"/>
  <c r="E20" i="79"/>
  <c r="I20" i="79" s="1"/>
  <c r="J20" i="79" s="1"/>
  <c r="Y20" i="79"/>
  <c r="J102" i="79"/>
  <c r="Y15" i="79"/>
  <c r="E14" i="79"/>
  <c r="I14" i="79" s="1"/>
  <c r="J14" i="79" s="1"/>
  <c r="Y21" i="79"/>
  <c r="Y22" i="79"/>
  <c r="Y23" i="79"/>
  <c r="Y24" i="79"/>
  <c r="Y25" i="79"/>
  <c r="J97" i="79"/>
  <c r="J97" i="78"/>
  <c r="I84" i="78"/>
  <c r="J84" i="78" s="1"/>
  <c r="Y22" i="78"/>
  <c r="J98" i="78"/>
  <c r="Y23" i="78"/>
  <c r="X102" i="78"/>
  <c r="X104" i="78" s="1"/>
  <c r="Y104" i="78" s="1"/>
  <c r="E27" i="78"/>
  <c r="I27" i="78" s="1"/>
  <c r="J27" i="78" s="1"/>
  <c r="Y27" i="78"/>
  <c r="J46" i="78"/>
  <c r="D90" i="78"/>
  <c r="Y13" i="78"/>
  <c r="I104" i="78"/>
  <c r="J104" i="78" s="1"/>
  <c r="Y25" i="78"/>
  <c r="J23" i="78"/>
  <c r="Y26" i="78"/>
  <c r="Y15" i="78"/>
  <c r="J103" i="77"/>
  <c r="Y24" i="77"/>
  <c r="J46" i="77"/>
  <c r="I84" i="77"/>
  <c r="Y38" i="77"/>
  <c r="J38" i="77"/>
  <c r="D92" i="77"/>
  <c r="Y50" i="77"/>
  <c r="J102" i="77"/>
  <c r="J97" i="77"/>
  <c r="J23" i="76"/>
  <c r="Y50" i="76"/>
  <c r="D92" i="76"/>
  <c r="J102" i="76"/>
  <c r="E17" i="76"/>
  <c r="I84" i="76"/>
  <c r="J84" i="76" s="1"/>
  <c r="J103" i="76"/>
  <c r="T23" i="76"/>
  <c r="X23" i="76" s="1"/>
  <c r="Y23" i="76" s="1"/>
  <c r="D90" i="76"/>
  <c r="J43" i="75"/>
  <c r="Y97" i="75"/>
  <c r="Y103" i="75"/>
  <c r="Y24" i="75"/>
  <c r="Y25" i="75"/>
  <c r="J47" i="75"/>
  <c r="Y26" i="75"/>
  <c r="D90" i="75"/>
  <c r="J27"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J20" i="74"/>
  <c r="Y20" i="74"/>
  <c r="Y25" i="74"/>
  <c r="Y21" i="74"/>
  <c r="J97" i="74"/>
  <c r="Y22" i="74"/>
  <c r="Y50" i="73"/>
  <c r="I84" i="73"/>
  <c r="J84" i="73" s="1"/>
  <c r="Y26" i="73"/>
  <c r="J97" i="73"/>
  <c r="Y27" i="73"/>
  <c r="J46" i="73"/>
  <c r="Y24" i="73"/>
  <c r="J23" i="73"/>
  <c r="Y25" i="73"/>
  <c r="Y12" i="73"/>
  <c r="Y17" i="72"/>
  <c r="Y18" i="72"/>
  <c r="J43" i="72"/>
  <c r="X83" i="72"/>
  <c r="Y83" i="72" s="1"/>
  <c r="J24" i="72"/>
  <c r="Y25" i="72"/>
  <c r="J27"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J21" i="70"/>
  <c r="Y23" i="70"/>
  <c r="Y25" i="70"/>
  <c r="Y17" i="70"/>
  <c r="E18" i="70"/>
  <c r="I18" i="70" s="1"/>
  <c r="J18" i="70" s="1"/>
  <c r="D92" i="70"/>
  <c r="X83" i="70"/>
  <c r="Y83" i="70" s="1"/>
  <c r="J24" i="70"/>
  <c r="V102" i="70"/>
  <c r="V103" i="70" s="1"/>
  <c r="Y103" i="70" s="1"/>
  <c r="Y26" i="70"/>
  <c r="J103" i="70"/>
  <c r="Y27" i="70"/>
  <c r="J46" i="70"/>
  <c r="Y15" i="70"/>
  <c r="J23" i="70"/>
  <c r="Y18" i="70"/>
  <c r="J38" i="70"/>
  <c r="J102" i="70"/>
  <c r="Y24" i="70"/>
  <c r="J27" i="70"/>
  <c r="D90" i="70"/>
  <c r="E17" i="70"/>
  <c r="I17" i="70" s="1"/>
  <c r="J17" i="70" s="1"/>
  <c r="E19" i="70"/>
  <c r="I19" i="70" s="1"/>
  <c r="J19" i="70" s="1"/>
  <c r="Y38" i="70"/>
  <c r="D90" i="69"/>
  <c r="J38" i="69"/>
  <c r="X104" i="69"/>
  <c r="Y104" i="69" s="1"/>
  <c r="D92" i="69"/>
  <c r="E18" i="69"/>
  <c r="T18" i="69" s="1"/>
  <c r="X18" i="69" s="1"/>
  <c r="Y18" i="69" s="1"/>
  <c r="J98" i="69"/>
  <c r="J102" i="69"/>
  <c r="Y17" i="69"/>
  <c r="Y24" i="69"/>
  <c r="Y27" i="69"/>
  <c r="Y23" i="69"/>
  <c r="I84" i="69"/>
  <c r="J84" i="69" s="1"/>
  <c r="J21" i="69"/>
  <c r="D92" i="68"/>
  <c r="J97" i="68"/>
  <c r="Y50" i="68"/>
  <c r="E14" i="68"/>
  <c r="I14" i="68" s="1"/>
  <c r="X104" i="67"/>
  <c r="Y104" i="67" s="1"/>
  <c r="V102" i="67"/>
  <c r="V103" i="67" s="1"/>
  <c r="Y103" i="67" s="1"/>
  <c r="J102" i="67"/>
  <c r="I84" i="67"/>
  <c r="J84" i="67" s="1"/>
  <c r="J23" i="66"/>
  <c r="D90" i="66"/>
  <c r="Y38" i="66"/>
  <c r="J102" i="66"/>
  <c r="E17" i="66"/>
  <c r="I104" i="66"/>
  <c r="J104" i="66" s="1"/>
  <c r="I84" i="66"/>
  <c r="J84" i="66" s="1"/>
  <c r="J97" i="66"/>
  <c r="J27" i="66"/>
  <c r="T12" i="66"/>
  <c r="X12" i="66" s="1"/>
  <c r="Y12" i="66" s="1"/>
  <c r="T27" i="66"/>
  <c r="X27" i="66" s="1"/>
  <c r="Y27" i="66" s="1"/>
  <c r="E20" i="66"/>
  <c r="T23" i="66"/>
  <c r="X23" i="66" s="1"/>
  <c r="Y23" i="66" s="1"/>
  <c r="T14" i="66"/>
  <c r="X14" i="66" s="1"/>
  <c r="E24" i="66"/>
  <c r="J31" i="66"/>
  <c r="Y31" i="66" s="1"/>
  <c r="Y32" i="66" s="1"/>
  <c r="T96" i="66"/>
  <c r="Y96" i="66" s="1"/>
  <c r="J102" i="65"/>
  <c r="D90" i="65"/>
  <c r="J23" i="65"/>
  <c r="E14" i="65"/>
  <c r="I14" i="65" s="1"/>
  <c r="J14" i="65" s="1"/>
  <c r="D92" i="65"/>
  <c r="X83" i="65"/>
  <c r="Y83" i="65" s="1"/>
  <c r="Y26" i="65"/>
  <c r="X102" i="65"/>
  <c r="Y27" i="65"/>
  <c r="J46" i="65"/>
  <c r="I104" i="65"/>
  <c r="J104" i="65" s="1"/>
  <c r="J27" i="65"/>
  <c r="Y15" i="65"/>
  <c r="Y17" i="65"/>
  <c r="Y18" i="65"/>
  <c r="Y19" i="65"/>
  <c r="E14" i="64"/>
  <c r="I14" i="64" s="1"/>
  <c r="J38" i="64"/>
  <c r="Y38" i="64"/>
  <c r="J97" i="63"/>
  <c r="E20" i="63"/>
  <c r="I20" i="63" s="1"/>
  <c r="J20" i="63" s="1"/>
  <c r="I23" i="63"/>
  <c r="J23" i="63" s="1"/>
  <c r="I84" i="63"/>
  <c r="J84" i="63" s="1"/>
  <c r="J17" i="63"/>
  <c r="J27" i="63"/>
  <c r="Y23" i="63"/>
  <c r="J103" i="63"/>
  <c r="X104" i="62"/>
  <c r="Y104" i="62" s="1"/>
  <c r="E17" i="62"/>
  <c r="T17" i="62" s="1"/>
  <c r="X17" i="62" s="1"/>
  <c r="Y17" i="62" s="1"/>
  <c r="J97" i="62"/>
  <c r="Y18"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T14" i="61"/>
  <c r="X14" i="61" s="1"/>
  <c r="Y23" i="61"/>
  <c r="J97" i="61"/>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Q57" i="57"/>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J14" i="104"/>
  <c r="X104" i="104"/>
  <c r="Y104" i="104" s="1"/>
  <c r="S91" i="104"/>
  <c r="X91" i="104" s="1"/>
  <c r="Y14" i="104"/>
  <c r="Y12" i="104"/>
  <c r="X28" i="104"/>
  <c r="V33" i="104" s="1"/>
  <c r="X56" i="104" s="1"/>
  <c r="S90" i="104"/>
  <c r="J103" i="104"/>
  <c r="S92" i="104"/>
  <c r="X92" i="104" s="1"/>
  <c r="Y16" i="104"/>
  <c r="J98" i="104"/>
  <c r="E44" i="104"/>
  <c r="J44" i="104" s="1"/>
  <c r="E48" i="104"/>
  <c r="J48" i="104" s="1"/>
  <c r="V69" i="104"/>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J12" i="103"/>
  <c r="Y12" i="103"/>
  <c r="T58" i="103"/>
  <c r="X59" i="103" s="1"/>
  <c r="X71" i="103" s="1"/>
  <c r="Y71" i="103" s="1"/>
  <c r="T52" i="103"/>
  <c r="X53" i="103" s="1"/>
  <c r="T61" i="103"/>
  <c r="X62" i="103" s="1"/>
  <c r="X67" i="103" s="1"/>
  <c r="Y67" i="103" s="1"/>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I20" i="102"/>
  <c r="J20" i="102" s="1"/>
  <c r="V87" i="102"/>
  <c r="J14" i="102"/>
  <c r="T14" i="102"/>
  <c r="X14" i="102" s="1"/>
  <c r="I21" i="102"/>
  <c r="J21"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31" i="101"/>
  <c r="Y32" i="101" s="1"/>
  <c r="Y103" i="101"/>
  <c r="J103" i="101"/>
  <c r="V69"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X56" i="99" s="1"/>
  <c r="S90" i="99"/>
  <c r="S91" i="99"/>
  <c r="X91" i="99" s="1"/>
  <c r="Y14" i="99"/>
  <c r="Y103" i="99"/>
  <c r="Y16" i="99"/>
  <c r="S92" i="99"/>
  <c r="X92" i="99" s="1"/>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J32" i="98"/>
  <c r="X28" i="98"/>
  <c r="V33" i="98" s="1"/>
  <c r="X56" i="98" s="1"/>
  <c r="Y12" i="98"/>
  <c r="S90" i="98"/>
  <c r="J14" i="98"/>
  <c r="J103" i="98"/>
  <c r="Y50" i="98"/>
  <c r="V85" i="98"/>
  <c r="E12" i="98"/>
  <c r="E22" i="98"/>
  <c r="I22" i="98" s="1"/>
  <c r="J22" i="98" s="1"/>
  <c r="T28" i="98"/>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31" i="96"/>
  <c r="Y32" i="96" s="1"/>
  <c r="Y12" i="96"/>
  <c r="J14" i="96"/>
  <c r="X104" i="96"/>
  <c r="Y104" i="96" s="1"/>
  <c r="J103" i="96"/>
  <c r="S91" i="96"/>
  <c r="X91" i="96" s="1"/>
  <c r="Y14" i="96"/>
  <c r="Y83" i="96"/>
  <c r="Y16" i="96"/>
  <c r="S92" i="96"/>
  <c r="X92" i="96" s="1"/>
  <c r="E44" i="96"/>
  <c r="J44" i="96" s="1"/>
  <c r="E48" i="96"/>
  <c r="J48" i="96" s="1"/>
  <c r="E15" i="96"/>
  <c r="I15" i="96" s="1"/>
  <c r="J15" i="96" s="1"/>
  <c r="E25" i="96"/>
  <c r="I25" i="96" s="1"/>
  <c r="J25" i="96" s="1"/>
  <c r="V102" i="96"/>
  <c r="V103" i="96" s="1"/>
  <c r="Y103" i="96" s="1"/>
  <c r="V69" i="96"/>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T58" i="95"/>
  <c r="X59" i="95" s="1"/>
  <c r="X71" i="95" s="1"/>
  <c r="T64" i="95"/>
  <c r="X65" i="95" s="1"/>
  <c r="X70" i="95" s="1"/>
  <c r="J14" i="95"/>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E17" i="94"/>
  <c r="I17" i="94" s="1"/>
  <c r="J17" i="94" s="1"/>
  <c r="T64" i="94"/>
  <c r="X65" i="94" s="1"/>
  <c r="X70" i="94" s="1"/>
  <c r="Y70" i="94" s="1"/>
  <c r="T52" i="94"/>
  <c r="X53" i="94" s="1"/>
  <c r="T58" i="94"/>
  <c r="X59" i="94" s="1"/>
  <c r="X71" i="94" s="1"/>
  <c r="Y71" i="94" s="1"/>
  <c r="T61" i="94"/>
  <c r="X62" i="94" s="1"/>
  <c r="X67" i="94" s="1"/>
  <c r="Y67" i="94" s="1"/>
  <c r="S91" i="94"/>
  <c r="X91" i="94" s="1"/>
  <c r="Y14" i="94"/>
  <c r="X104" i="94"/>
  <c r="Y104" i="94" s="1"/>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V69" i="94"/>
  <c r="E15" i="94"/>
  <c r="I15" i="94" s="1"/>
  <c r="J15" i="94" s="1"/>
  <c r="E25" i="94"/>
  <c r="I25" i="94" s="1"/>
  <c r="J25" i="94" s="1"/>
  <c r="E13" i="94"/>
  <c r="I13" i="94" s="1"/>
  <c r="J13" i="94" s="1"/>
  <c r="E42" i="94"/>
  <c r="J42" i="94" s="1"/>
  <c r="E47" i="93"/>
  <c r="J47" i="93" s="1"/>
  <c r="E17" i="93"/>
  <c r="I17" i="93" s="1"/>
  <c r="J17" i="93" s="1"/>
  <c r="E18" i="93"/>
  <c r="I18" i="93" s="1"/>
  <c r="J18" i="93" s="1"/>
  <c r="J14" i="93"/>
  <c r="J103" i="93"/>
  <c r="S91" i="93"/>
  <c r="X91" i="93" s="1"/>
  <c r="Y14" i="93"/>
  <c r="Y16" i="93"/>
  <c r="S92" i="93"/>
  <c r="X92" i="93" s="1"/>
  <c r="Y83" i="93"/>
  <c r="Y12" i="93"/>
  <c r="X28" i="93"/>
  <c r="V33" i="93" s="1"/>
  <c r="X56"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J14"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V33" i="90" s="1"/>
  <c r="X56"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T64" i="89"/>
  <c r="X65" i="89" s="1"/>
  <c r="X70" i="89" s="1"/>
  <c r="Y70" i="89" s="1"/>
  <c r="T58" i="89"/>
  <c r="X59" i="89" s="1"/>
  <c r="X71" i="89" s="1"/>
  <c r="J14" i="89"/>
  <c r="S91" i="89"/>
  <c r="X91" i="89" s="1"/>
  <c r="Y14" i="89"/>
  <c r="J97" i="89"/>
  <c r="V69"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S90" i="88"/>
  <c r="J103" i="88"/>
  <c r="X104" i="88"/>
  <c r="Y104" i="88" s="1"/>
  <c r="S91" i="88"/>
  <c r="X91" i="88" s="1"/>
  <c r="Y14" i="88"/>
  <c r="J98"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J14" i="87"/>
  <c r="Y12" i="87"/>
  <c r="S90" i="87"/>
  <c r="E20" i="87"/>
  <c r="I20" i="87" s="1"/>
  <c r="J20" i="87" s="1"/>
  <c r="V69" i="87"/>
  <c r="I104" i="87"/>
  <c r="J104" i="87" s="1"/>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J103" i="86"/>
  <c r="X13" i="86"/>
  <c r="Y13" i="86" s="1"/>
  <c r="E43" i="86"/>
  <c r="J43" i="86" s="1"/>
  <c r="E47" i="86"/>
  <c r="J47" i="86" s="1"/>
  <c r="V85" i="86"/>
  <c r="X102" i="86"/>
  <c r="E12" i="86"/>
  <c r="E22" i="86"/>
  <c r="I22" i="86" s="1"/>
  <c r="J22" i="86" s="1"/>
  <c r="E41" i="86"/>
  <c r="E45" i="86"/>
  <c r="J45" i="86" s="1"/>
  <c r="E49" i="86"/>
  <c r="J49" i="86" s="1"/>
  <c r="J97" i="86"/>
  <c r="V69"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T52" i="85"/>
  <c r="X53" i="85" s="1"/>
  <c r="T61" i="85"/>
  <c r="X62" i="85" s="1"/>
  <c r="X67" i="85" s="1"/>
  <c r="Y67" i="85" s="1"/>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J14"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T58" i="82"/>
  <c r="X59" i="82" s="1"/>
  <c r="X71" i="82" s="1"/>
  <c r="T64" i="82"/>
  <c r="X65" i="82" s="1"/>
  <c r="X70" i="82" s="1"/>
  <c r="Y70" i="82" s="1"/>
  <c r="T61" i="82"/>
  <c r="X62" i="82" s="1"/>
  <c r="X67" i="82" s="1"/>
  <c r="Y67" i="82" s="1"/>
  <c r="J103" i="82"/>
  <c r="J14" i="82"/>
  <c r="Y16" i="82"/>
  <c r="S92" i="82"/>
  <c r="X92" i="82" s="1"/>
  <c r="S91" i="82"/>
  <c r="X91" i="82" s="1"/>
  <c r="Y14" i="82"/>
  <c r="J98" i="82"/>
  <c r="E15" i="82"/>
  <c r="I15" i="82" s="1"/>
  <c r="J15" i="82" s="1"/>
  <c r="E25" i="82"/>
  <c r="I25" i="82" s="1"/>
  <c r="J25" i="82" s="1"/>
  <c r="V69" i="82"/>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31" i="81"/>
  <c r="Y32" i="81" s="1"/>
  <c r="J32" i="81"/>
  <c r="Y12" i="81"/>
  <c r="T58" i="81"/>
  <c r="X59" i="81" s="1"/>
  <c r="X71" i="81" s="1"/>
  <c r="T64" i="81"/>
  <c r="X65" i="81" s="1"/>
  <c r="X70" i="81" s="1"/>
  <c r="Y70" i="81" s="1"/>
  <c r="T61" i="81"/>
  <c r="X62" i="81" s="1"/>
  <c r="X67" i="81" s="1"/>
  <c r="Y67" i="81" s="1"/>
  <c r="S91" i="81"/>
  <c r="X91" i="81" s="1"/>
  <c r="Y14" i="81"/>
  <c r="Y103" i="81"/>
  <c r="J14"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X104" i="80"/>
  <c r="Y104" i="80" s="1"/>
  <c r="Y12" i="80"/>
  <c r="J103" i="80"/>
  <c r="J14"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4" i="78"/>
  <c r="J103" i="78"/>
  <c r="Y83" i="78"/>
  <c r="Y12" i="78"/>
  <c r="X28" i="78"/>
  <c r="V33" i="78" s="1"/>
  <c r="X56" i="78" s="1"/>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J84" i="77"/>
  <c r="X104" i="77"/>
  <c r="Y104" i="77" s="1"/>
  <c r="I23" i="77"/>
  <c r="J23" i="77" s="1"/>
  <c r="T23" i="77"/>
  <c r="X23" i="77" s="1"/>
  <c r="Y23" i="77" s="1"/>
  <c r="Y31" i="77"/>
  <c r="Y32" i="77" s="1"/>
  <c r="J32" i="77"/>
  <c r="X97" i="77"/>
  <c r="Y97" i="77" s="1"/>
  <c r="E17" i="77"/>
  <c r="E27" i="77"/>
  <c r="V83" i="77"/>
  <c r="Y83" i="77" s="1"/>
  <c r="I24" i="77"/>
  <c r="J24" i="77" s="1"/>
  <c r="E21" i="77"/>
  <c r="V70" i="77"/>
  <c r="D90" i="77"/>
  <c r="E18" i="77"/>
  <c r="E44" i="77"/>
  <c r="J44" i="77" s="1"/>
  <c r="E48" i="77"/>
  <c r="J48" i="77" s="1"/>
  <c r="E15" i="77"/>
  <c r="E25" i="77"/>
  <c r="V102" i="77"/>
  <c r="V103" i="77" s="1"/>
  <c r="Y103" i="77" s="1"/>
  <c r="E43" i="77"/>
  <c r="J43" i="77" s="1"/>
  <c r="E47" i="77"/>
  <c r="J47" i="77" s="1"/>
  <c r="D91" i="77"/>
  <c r="E16" i="77"/>
  <c r="E26" i="77"/>
  <c r="E12" i="77"/>
  <c r="E22" i="77"/>
  <c r="E41" i="77"/>
  <c r="E45" i="77"/>
  <c r="J45" i="77" s="1"/>
  <c r="E49" i="77"/>
  <c r="J49" i="77" s="1"/>
  <c r="E19" i="77"/>
  <c r="E13" i="77"/>
  <c r="E42" i="77"/>
  <c r="J42" i="77" s="1"/>
  <c r="Y96" i="76"/>
  <c r="E18" i="76"/>
  <c r="E20" i="76"/>
  <c r="E21" i="76"/>
  <c r="E24" i="76"/>
  <c r="E14" i="76"/>
  <c r="E27" i="76"/>
  <c r="Y31" i="76"/>
  <c r="Y32" i="76" s="1"/>
  <c r="Y83" i="76"/>
  <c r="Y103" i="76"/>
  <c r="E44" i="76"/>
  <c r="J44" i="76" s="1"/>
  <c r="E48" i="76"/>
  <c r="J48" i="76" s="1"/>
  <c r="V70" i="76"/>
  <c r="V85" i="76"/>
  <c r="X102" i="76"/>
  <c r="V69"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32" i="75"/>
  <c r="J103" i="75"/>
  <c r="Y12" i="75"/>
  <c r="J14" i="75"/>
  <c r="S91" i="75"/>
  <c r="X91" i="75" s="1"/>
  <c r="Y14" i="75"/>
  <c r="J97" i="75"/>
  <c r="V69"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4" i="73"/>
  <c r="J103" i="73"/>
  <c r="S92" i="73"/>
  <c r="X92" i="73" s="1"/>
  <c r="Y16" i="73"/>
  <c r="Y14" i="73"/>
  <c r="Y103" i="73"/>
  <c r="S90" i="73"/>
  <c r="Y13" i="73"/>
  <c r="T58" i="73"/>
  <c r="X59" i="73" s="1"/>
  <c r="X71" i="73" s="1"/>
  <c r="E20" i="73"/>
  <c r="I20" i="73" s="1"/>
  <c r="J20" i="73" s="1"/>
  <c r="V69" i="73"/>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J32" i="72"/>
  <c r="Y12" i="72"/>
  <c r="T58" i="72"/>
  <c r="X59" i="72" s="1"/>
  <c r="X71" i="72" s="1"/>
  <c r="T52" i="72"/>
  <c r="X53" i="72" s="1"/>
  <c r="J14" i="72"/>
  <c r="J103" i="72"/>
  <c r="S91" i="72"/>
  <c r="X91" i="72" s="1"/>
  <c r="Y14" i="72"/>
  <c r="Y10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31" i="70"/>
  <c r="Y32" i="70" s="1"/>
  <c r="J32" i="70"/>
  <c r="Y12" i="70"/>
  <c r="X104" i="70"/>
  <c r="Y104" i="70" s="1"/>
  <c r="J14" i="70"/>
  <c r="S91" i="70"/>
  <c r="X91" i="70" s="1"/>
  <c r="Y14" i="70"/>
  <c r="S92" i="70"/>
  <c r="X92" i="70" s="1"/>
  <c r="Y16" i="70"/>
  <c r="V87" i="70"/>
  <c r="J84"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I23" i="69"/>
  <c r="J23" i="69" s="1"/>
  <c r="V87" i="69"/>
  <c r="V85" i="69"/>
  <c r="E12" i="69"/>
  <c r="E22" i="69"/>
  <c r="D91" i="69"/>
  <c r="E16" i="69"/>
  <c r="E26" i="69"/>
  <c r="I17" i="69"/>
  <c r="J17" i="69" s="1"/>
  <c r="I27" i="69"/>
  <c r="J27" i="69" s="1"/>
  <c r="I14" i="69"/>
  <c r="I24" i="69"/>
  <c r="J24"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J14" i="68"/>
  <c r="X104" i="68"/>
  <c r="Y104" i="68" s="1"/>
  <c r="J103" i="68"/>
  <c r="Y31" i="68"/>
  <c r="Y32" i="68" s="1"/>
  <c r="J32" i="68"/>
  <c r="J84" i="68"/>
  <c r="I23" i="68"/>
  <c r="J23" i="68" s="1"/>
  <c r="T23" i="68"/>
  <c r="X23" i="68" s="1"/>
  <c r="Y23" i="68" s="1"/>
  <c r="V69" i="68"/>
  <c r="J98" i="68"/>
  <c r="V70" i="68"/>
  <c r="E15" i="68"/>
  <c r="E25" i="68"/>
  <c r="V102" i="68"/>
  <c r="V103" i="68" s="1"/>
  <c r="Y103" i="68" s="1"/>
  <c r="I18" i="68"/>
  <c r="J18" i="68" s="1"/>
  <c r="E12" i="68"/>
  <c r="E22" i="68"/>
  <c r="V71" i="68"/>
  <c r="V87" i="68"/>
  <c r="V83" i="68"/>
  <c r="Y83" i="68" s="1"/>
  <c r="I17" i="68"/>
  <c r="J17" i="68" s="1"/>
  <c r="T20" i="68"/>
  <c r="X20" i="68" s="1"/>
  <c r="Y20" i="68" s="1"/>
  <c r="I27" i="68"/>
  <c r="J27" i="68" s="1"/>
  <c r="E43" i="68"/>
  <c r="J43" i="68" s="1"/>
  <c r="E47" i="68"/>
  <c r="J47" i="68" s="1"/>
  <c r="I19" i="68"/>
  <c r="J19"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J12" i="66"/>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Y31" i="65"/>
  <c r="Y32" i="65" s="1"/>
  <c r="J32" i="65"/>
  <c r="J84" i="65"/>
  <c r="Y12" i="65"/>
  <c r="S90" i="65"/>
  <c r="X28" i="65"/>
  <c r="V33" i="65" s="1"/>
  <c r="X56" i="65" s="1"/>
  <c r="S91" i="65"/>
  <c r="X91" i="65" s="1"/>
  <c r="Y14" i="65"/>
  <c r="J103" i="65"/>
  <c r="V69"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4" i="64"/>
  <c r="J103" i="64"/>
  <c r="I23" i="64"/>
  <c r="J23" i="64" s="1"/>
  <c r="T23" i="64"/>
  <c r="X23" i="64" s="1"/>
  <c r="Y23" i="64" s="1"/>
  <c r="J97" i="64"/>
  <c r="V69" i="64"/>
  <c r="J98" i="64"/>
  <c r="E21" i="64"/>
  <c r="V70" i="64"/>
  <c r="T14" i="64"/>
  <c r="X14" i="64" s="1"/>
  <c r="T24" i="64"/>
  <c r="X24" i="64" s="1"/>
  <c r="Y24" i="64" s="1"/>
  <c r="V85" i="64"/>
  <c r="E12" i="64"/>
  <c r="E22" i="64"/>
  <c r="V71" i="64"/>
  <c r="I20" i="64"/>
  <c r="J20" i="64" s="1"/>
  <c r="V83" i="64"/>
  <c r="Y83" i="64" s="1"/>
  <c r="I27" i="64"/>
  <c r="J27" i="64" s="1"/>
  <c r="E43" i="64"/>
  <c r="J43" i="64" s="1"/>
  <c r="E47" i="64"/>
  <c r="J47" i="64" s="1"/>
  <c r="D91" i="64"/>
  <c r="E44" i="64"/>
  <c r="J44" i="64" s="1"/>
  <c r="E48" i="64"/>
  <c r="J48" i="64" s="1"/>
  <c r="I18" i="64"/>
  <c r="J1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X104" i="63"/>
  <c r="Y104" i="63" s="1"/>
  <c r="J32" i="63"/>
  <c r="Y50" i="63"/>
  <c r="T17" i="63"/>
  <c r="X17" i="63" s="1"/>
  <c r="Y17" i="63" s="1"/>
  <c r="T27" i="63"/>
  <c r="X27" i="63" s="1"/>
  <c r="Y2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31" i="62"/>
  <c r="Y32" i="62" s="1"/>
  <c r="J14" i="62"/>
  <c r="Y50" i="62"/>
  <c r="V87" i="62"/>
  <c r="T14" i="62"/>
  <c r="X14" i="62" s="1"/>
  <c r="I21" i="62"/>
  <c r="J21" i="62" s="1"/>
  <c r="T24" i="62"/>
  <c r="X24" i="62" s="1"/>
  <c r="Y24" i="62" s="1"/>
  <c r="V85" i="62"/>
  <c r="E12" i="62"/>
  <c r="E22" i="62"/>
  <c r="D91" i="62"/>
  <c r="E16" i="62"/>
  <c r="E26" i="62"/>
  <c r="T20" i="62"/>
  <c r="X20" i="62" s="1"/>
  <c r="Y20" i="62" s="1"/>
  <c r="I18" i="62"/>
  <c r="J18" i="62" s="1"/>
  <c r="E15" i="62"/>
  <c r="E25" i="62"/>
  <c r="E19" i="62"/>
  <c r="E13" i="62"/>
  <c r="Y96" i="61"/>
  <c r="Y96" i="58"/>
  <c r="Y96" i="59"/>
  <c r="E43" i="61"/>
  <c r="J43" i="61" s="1"/>
  <c r="E21" i="61"/>
  <c r="Y31" i="61"/>
  <c r="Y32" i="61" s="1"/>
  <c r="J32" i="61"/>
  <c r="Y12" i="61"/>
  <c r="J14" i="61"/>
  <c r="J103" i="61"/>
  <c r="Y50" i="61"/>
  <c r="Y103" i="61"/>
  <c r="V69" i="61"/>
  <c r="I104" i="61"/>
  <c r="J104" i="61" s="1"/>
  <c r="X97" i="61"/>
  <c r="Y97" i="61" s="1"/>
  <c r="E17" i="61"/>
  <c r="E27" i="61"/>
  <c r="V83" i="61"/>
  <c r="Y83" i="61" s="1"/>
  <c r="E44" i="61"/>
  <c r="J44" i="61" s="1"/>
  <c r="E48" i="61"/>
  <c r="J48" i="61" s="1"/>
  <c r="D91" i="61"/>
  <c r="E16" i="61"/>
  <c r="E26" i="61"/>
  <c r="V85" i="61"/>
  <c r="E12" i="61"/>
  <c r="T12" i="61" s="1"/>
  <c r="X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32" i="60"/>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T20" i="101" l="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X56" i="71" s="1"/>
  <c r="X85" i="71" s="1"/>
  <c r="Y85" i="71" s="1"/>
  <c r="S90" i="71"/>
  <c r="J105" i="58"/>
  <c r="I20" i="67"/>
  <c r="J20" i="67" s="1"/>
  <c r="I17" i="67"/>
  <c r="J17" i="67" s="1"/>
  <c r="I27" i="67"/>
  <c r="J27" i="67" s="1"/>
  <c r="T14" i="67"/>
  <c r="X14" i="67" s="1"/>
  <c r="I18" i="67"/>
  <c r="J18" i="67" s="1"/>
  <c r="I20" i="59"/>
  <c r="J20" i="59" s="1"/>
  <c r="J105" i="102"/>
  <c r="J105" i="80"/>
  <c r="E8" i="106"/>
  <c r="G8" i="106" s="1"/>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F7" i="54"/>
  <c r="G7" i="54"/>
  <c r="R7" i="54"/>
  <c r="T52" i="95"/>
  <c r="X53" i="95" s="1"/>
  <c r="X69" i="95" s="1"/>
  <c r="Y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I114" i="108"/>
  <c r="J114" i="108" s="1"/>
  <c r="J19" i="54"/>
  <c r="T14" i="68"/>
  <c r="X14" i="68" s="1"/>
  <c r="T21" i="67"/>
  <c r="X21" i="67" s="1"/>
  <c r="Y21" i="67" s="1"/>
  <c r="T64" i="65"/>
  <c r="X65" i="65" s="1"/>
  <c r="X70" i="65" s="1"/>
  <c r="Y70" i="65" s="1"/>
  <c r="I27" i="62"/>
  <c r="J27" i="62" s="1"/>
  <c r="I17" i="62"/>
  <c r="J17" i="62" s="1"/>
  <c r="Y102" i="88"/>
  <c r="Y105" i="88" s="1"/>
  <c r="J105" i="88"/>
  <c r="Y28" i="89"/>
  <c r="Y33" i="89" s="1"/>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V33" i="96" s="1"/>
  <c r="X56" i="96" s="1"/>
  <c r="X86" i="96" s="1"/>
  <c r="Y86" i="96" s="1"/>
  <c r="J105" i="95"/>
  <c r="Y102" i="93"/>
  <c r="Y105" i="93" s="1"/>
  <c r="Y28" i="92"/>
  <c r="Y33" i="92" s="1"/>
  <c r="X28" i="92"/>
  <c r="V33" i="92" s="1"/>
  <c r="X56" i="92" s="1"/>
  <c r="X86" i="92" s="1"/>
  <c r="Y86" i="92" s="1"/>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T61" i="80"/>
  <c r="X62" i="80" s="1"/>
  <c r="X67" i="80" s="1"/>
  <c r="Y67" i="80" s="1"/>
  <c r="T58" i="80"/>
  <c r="X59" i="80" s="1"/>
  <c r="X71" i="80" s="1"/>
  <c r="Y71" i="80" s="1"/>
  <c r="X28" i="80"/>
  <c r="V33" i="80" s="1"/>
  <c r="X56" i="80" s="1"/>
  <c r="X86" i="80" s="1"/>
  <c r="Y86" i="80" s="1"/>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Y71" i="73"/>
  <c r="J105" i="72"/>
  <c r="S90" i="72"/>
  <c r="X90" i="72" s="1"/>
  <c r="Y93" i="72" s="1"/>
  <c r="X28" i="72"/>
  <c r="V33" i="72" s="1"/>
  <c r="X56" i="72" s="1"/>
  <c r="X86" i="72" s="1"/>
  <c r="Y86"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X56" i="105" s="1"/>
  <c r="Y28" i="105"/>
  <c r="Y33" i="105" s="1"/>
  <c r="X86" i="104"/>
  <c r="Y86" i="104" s="1"/>
  <c r="X85" i="104"/>
  <c r="Y85" i="104"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X56" i="103" s="1"/>
  <c r="S90" i="103"/>
  <c r="Y28" i="103"/>
  <c r="Y33" i="103" s="1"/>
  <c r="X87" i="103"/>
  <c r="Y87" i="103" s="1"/>
  <c r="X69" i="103"/>
  <c r="Y69"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X86" i="99"/>
  <c r="Y86" i="99" s="1"/>
  <c r="X85" i="99"/>
  <c r="Y85"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X86" i="98"/>
  <c r="Y86" i="98" s="1"/>
  <c r="X85" i="98"/>
  <c r="Y85"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X90" i="96"/>
  <c r="Y93" i="96" s="1"/>
  <c r="S93" i="96"/>
  <c r="X87" i="96"/>
  <c r="Y87" i="96" s="1"/>
  <c r="X69" i="96"/>
  <c r="Y69" i="96" s="1"/>
  <c r="J16" i="96"/>
  <c r="B92" i="96"/>
  <c r="I92" i="96" s="1"/>
  <c r="I12" i="96"/>
  <c r="E28" i="96"/>
  <c r="O47" i="54" s="1" a="1"/>
  <c r="O47" i="54" s="1"/>
  <c r="Y28" i="96"/>
  <c r="Y33" i="96" s="1"/>
  <c r="Y102" i="96"/>
  <c r="Y105" i="96" s="1"/>
  <c r="J41" i="96"/>
  <c r="J50" i="96" s="1"/>
  <c r="E50" i="96"/>
  <c r="S90" i="95"/>
  <c r="X90" i="95" s="1"/>
  <c r="Y93" i="95" s="1"/>
  <c r="Y70" i="95"/>
  <c r="X104" i="95"/>
  <c r="Y104" i="95" s="1"/>
  <c r="Y102" i="95"/>
  <c r="J41" i="95"/>
  <c r="J50" i="95" s="1"/>
  <c r="E50" i="95"/>
  <c r="Y28" i="95"/>
  <c r="Y33" i="95" s="1"/>
  <c r="Y71" i="95"/>
  <c r="B91" i="95"/>
  <c r="I91" i="95" s="1"/>
  <c r="J16" i="95"/>
  <c r="B92" i="95"/>
  <c r="I92" i="95" s="1"/>
  <c r="X28" i="95"/>
  <c r="V33" i="95" s="1"/>
  <c r="X56" i="95" s="1"/>
  <c r="I12" i="95"/>
  <c r="E28" i="95"/>
  <c r="O46" i="54" s="1" a="1"/>
  <c r="O46" i="54" s="1"/>
  <c r="J16" i="94"/>
  <c r="B92" i="94"/>
  <c r="I92" i="94" s="1"/>
  <c r="Y28" i="94"/>
  <c r="Y33" i="94" s="1"/>
  <c r="B91" i="94"/>
  <c r="I91" i="94" s="1"/>
  <c r="E50" i="94"/>
  <c r="J41" i="94"/>
  <c r="J50" i="94" s="1"/>
  <c r="E28" i="94"/>
  <c r="O45" i="54" s="1" a="1"/>
  <c r="O45" i="54" s="1"/>
  <c r="I12" i="94"/>
  <c r="X87" i="94"/>
  <c r="Y87" i="94" s="1"/>
  <c r="X69" i="94"/>
  <c r="Y69" i="94" s="1"/>
  <c r="X28" i="94"/>
  <c r="V33" i="94" s="1"/>
  <c r="X56" i="94" s="1"/>
  <c r="S90" i="94"/>
  <c r="X86" i="93"/>
  <c r="Y86" i="93" s="1"/>
  <c r="X85" i="93"/>
  <c r="Y85" i="93" s="1"/>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Y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X56"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X86" i="90"/>
  <c r="Y86" i="90" s="1"/>
  <c r="X85" i="90"/>
  <c r="Y85"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Y71" i="89"/>
  <c r="X28" i="89"/>
  <c r="V33" i="89" s="1"/>
  <c r="X56" i="89" s="1"/>
  <c r="X87" i="89"/>
  <c r="Y87" i="89" s="1"/>
  <c r="X69" i="89"/>
  <c r="Y69" i="89" s="1"/>
  <c r="X28" i="88"/>
  <c r="V33" i="88" s="1"/>
  <c r="X56" i="88" s="1"/>
  <c r="X86" i="88" s="1"/>
  <c r="Y86" i="88" s="1"/>
  <c r="Y28" i="88"/>
  <c r="Y33" i="88" s="1"/>
  <c r="X90" i="88"/>
  <c r="Y93" i="88" s="1"/>
  <c r="S93" i="88"/>
  <c r="B91" i="88"/>
  <c r="I91" i="88" s="1"/>
  <c r="J16" i="88"/>
  <c r="B92" i="88"/>
  <c r="I92" i="88" s="1"/>
  <c r="X87" i="88"/>
  <c r="Y87" i="88" s="1"/>
  <c r="X69" i="88"/>
  <c r="Y69" i="88" s="1"/>
  <c r="I12" i="88"/>
  <c r="E28" i="88"/>
  <c r="J41" i="88"/>
  <c r="J50" i="88" s="1"/>
  <c r="E50" i="88"/>
  <c r="B91" i="87"/>
  <c r="I91" i="87" s="1"/>
  <c r="S91" i="87"/>
  <c r="X91" i="87" s="1"/>
  <c r="Y14" i="87"/>
  <c r="Y28" i="87" s="1"/>
  <c r="Y33" i="87" s="1"/>
  <c r="J16" i="87"/>
  <c r="B92" i="87"/>
  <c r="I92" i="87" s="1"/>
  <c r="J41" i="87"/>
  <c r="J50" i="87" s="1"/>
  <c r="E50" i="87"/>
  <c r="X90" i="87"/>
  <c r="X87" i="87"/>
  <c r="Y87" i="87" s="1"/>
  <c r="X69" i="87"/>
  <c r="Y69" i="87" s="1"/>
  <c r="E28" i="87"/>
  <c r="O38" i="54" s="1" a="1"/>
  <c r="O38" i="54" s="1"/>
  <c r="I12" i="87"/>
  <c r="X28" i="87"/>
  <c r="V33" i="87" s="1"/>
  <c r="X56" i="87" s="1"/>
  <c r="T58" i="86"/>
  <c r="X59" i="86" s="1"/>
  <c r="X71" i="86" s="1"/>
  <c r="Y71" i="86" s="1"/>
  <c r="B91" i="86"/>
  <c r="I91" i="86" s="1"/>
  <c r="X87" i="86"/>
  <c r="Y87" i="86" s="1"/>
  <c r="X69" i="86"/>
  <c r="Y69" i="86" s="1"/>
  <c r="X104" i="86"/>
  <c r="Y104" i="86" s="1"/>
  <c r="Y102" i="86"/>
  <c r="X28" i="86"/>
  <c r="V33" i="86" s="1"/>
  <c r="T55" i="86" s="1"/>
  <c r="X56" i="86" s="1"/>
  <c r="J41" i="86"/>
  <c r="J50" i="86" s="1"/>
  <c r="E50" i="86"/>
  <c r="S90" i="86"/>
  <c r="E28" i="86"/>
  <c r="O37" i="54" s="1" a="1"/>
  <c r="O37" i="54" s="1"/>
  <c r="I12" i="86"/>
  <c r="J16" i="86"/>
  <c r="B92" i="86"/>
  <c r="I92" i="86" s="1"/>
  <c r="Y28" i="86"/>
  <c r="Y33" i="86" s="1"/>
  <c r="T64" i="85"/>
  <c r="X65" i="85" s="1"/>
  <c r="X70" i="85" s="1"/>
  <c r="Y70" i="85" s="1"/>
  <c r="E50" i="85"/>
  <c r="J41" i="85"/>
  <c r="J50" i="85" s="1"/>
  <c r="X87" i="85"/>
  <c r="Y87" i="85" s="1"/>
  <c r="X69" i="85"/>
  <c r="Y69" i="85" s="1"/>
  <c r="X28" i="85"/>
  <c r="V33" i="85" s="1"/>
  <c r="X56" i="85" s="1"/>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Y93" i="84" s="1"/>
  <c r="S93" i="84"/>
  <c r="J16" i="84"/>
  <c r="B92" i="84"/>
  <c r="I92" i="84" s="1"/>
  <c r="B91" i="83"/>
  <c r="I91" i="83" s="1"/>
  <c r="S90" i="83"/>
  <c r="X28" i="83"/>
  <c r="V33" i="83" s="1"/>
  <c r="X56" i="83" s="1"/>
  <c r="X86" i="83" s="1"/>
  <c r="Y86" i="83" s="1"/>
  <c r="J16" i="83"/>
  <c r="J28" i="83" s="1"/>
  <c r="B92" i="83"/>
  <c r="I92" i="83" s="1"/>
  <c r="S93" i="83"/>
  <c r="X90" i="83"/>
  <c r="Y93" i="83" s="1"/>
  <c r="I28" i="83"/>
  <c r="G33" i="83" s="1"/>
  <c r="E56" i="83" s="1"/>
  <c r="I57"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Y71" i="82"/>
  <c r="B91" i="82"/>
  <c r="I91" i="82" s="1"/>
  <c r="J16" i="82"/>
  <c r="B92" i="82"/>
  <c r="I92" i="82" s="1"/>
  <c r="X69" i="82"/>
  <c r="Y69" i="82" s="1"/>
  <c r="X87" i="82"/>
  <c r="Y87" i="82" s="1"/>
  <c r="Y28" i="82"/>
  <c r="Y33" i="82" s="1"/>
  <c r="S90" i="82"/>
  <c r="J41" i="82"/>
  <c r="J50" i="82" s="1"/>
  <c r="E50" i="82"/>
  <c r="X28" i="82"/>
  <c r="V33" i="82" s="1"/>
  <c r="X56" i="82" s="1"/>
  <c r="I12" i="82"/>
  <c r="E28" i="82"/>
  <c r="O33" i="54" s="1" a="1"/>
  <c r="O33" i="54" s="1"/>
  <c r="I12" i="81"/>
  <c r="E28" i="81"/>
  <c r="O32" i="54" s="1" a="1"/>
  <c r="O32" i="54" s="1"/>
  <c r="X28" i="81"/>
  <c r="V33" i="81" s="1"/>
  <c r="X56" i="81" s="1"/>
  <c r="X87" i="81"/>
  <c r="Y87" i="81" s="1"/>
  <c r="X69" i="81"/>
  <c r="Y69" i="81" s="1"/>
  <c r="J16" i="81"/>
  <c r="B92" i="81"/>
  <c r="I92" i="81" s="1"/>
  <c r="J41" i="81"/>
  <c r="J50" i="81" s="1"/>
  <c r="E50" i="81"/>
  <c r="B91" i="81"/>
  <c r="I91" i="81" s="1"/>
  <c r="S90" i="81"/>
  <c r="Y28" i="81"/>
  <c r="Y33" i="81" s="1"/>
  <c r="Y71" i="81"/>
  <c r="I12" i="80"/>
  <c r="E28" i="80"/>
  <c r="O31" i="54" s="1" a="1"/>
  <c r="O31" i="54" s="1"/>
  <c r="Y102" i="80"/>
  <c r="Y105" i="80" s="1"/>
  <c r="Y28" i="80"/>
  <c r="X87" i="80"/>
  <c r="Y87" i="80" s="1"/>
  <c r="X69" i="80"/>
  <c r="Y69" i="80" s="1"/>
  <c r="J41" i="80"/>
  <c r="J50" i="80" s="1"/>
  <c r="E50" i="80"/>
  <c r="X90" i="80"/>
  <c r="Y93" i="80" s="1"/>
  <c r="S93"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X56" i="79" s="1"/>
  <c r="B91" i="79"/>
  <c r="I91" i="79" s="1"/>
  <c r="S90" i="79"/>
  <c r="J41" i="79"/>
  <c r="J50" i="79" s="1"/>
  <c r="E50" i="79"/>
  <c r="I12" i="79"/>
  <c r="E28" i="79"/>
  <c r="O30" i="54" s="1" a="1"/>
  <c r="O30" i="54" s="1"/>
  <c r="X86" i="78"/>
  <c r="Y86" i="78" s="1"/>
  <c r="X85" i="78"/>
  <c r="Y85" i="78"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X56" i="75" s="1"/>
  <c r="X86" i="75" s="1"/>
  <c r="Y86" i="75" s="1"/>
  <c r="Y28" i="75"/>
  <c r="Y33" i="75" s="1"/>
  <c r="I12" i="75"/>
  <c r="E28" i="75"/>
  <c r="O26" i="54" s="1" a="1"/>
  <c r="O26" i="54" s="1"/>
  <c r="X104" i="75"/>
  <c r="Y104" i="75" s="1"/>
  <c r="Y102" i="75"/>
  <c r="Y83" i="75"/>
  <c r="X87" i="75"/>
  <c r="Y87" i="75" s="1"/>
  <c r="X69" i="75"/>
  <c r="Y69" i="75" s="1"/>
  <c r="B91" i="75"/>
  <c r="I91" i="75" s="1"/>
  <c r="J16" i="75"/>
  <c r="B92" i="75"/>
  <c r="I92" i="75" s="1"/>
  <c r="J41" i="75"/>
  <c r="J50" i="75" s="1"/>
  <c r="E50" i="75"/>
  <c r="J16" i="74"/>
  <c r="B92" i="74"/>
  <c r="I92" i="74" s="1"/>
  <c r="B91" i="74"/>
  <c r="I91" i="74" s="1"/>
  <c r="S90" i="74"/>
  <c r="X28" i="74"/>
  <c r="V33" i="74" s="1"/>
  <c r="X56" i="74" s="1"/>
  <c r="J41" i="74"/>
  <c r="J50" i="74" s="1"/>
  <c r="E50" i="74"/>
  <c r="I12" i="74"/>
  <c r="E28" i="74"/>
  <c r="O25" i="54" s="1" a="1"/>
  <c r="O25" i="54" s="1"/>
  <c r="Y102" i="74"/>
  <c r="Y105" i="74" s="1"/>
  <c r="X69" i="74"/>
  <c r="Y69" i="74" s="1"/>
  <c r="X87" i="74"/>
  <c r="Y87" i="74" s="1"/>
  <c r="Y28" i="74"/>
  <c r="Y33" i="74" s="1"/>
  <c r="Y28" i="73"/>
  <c r="Y33" i="73" s="1"/>
  <c r="S91" i="73"/>
  <c r="X91" i="73" s="1"/>
  <c r="X28" i="73"/>
  <c r="V33" i="73" s="1"/>
  <c r="X56" i="73" s="1"/>
  <c r="X86" i="73" s="1"/>
  <c r="Y86" i="73" s="1"/>
  <c r="J16" i="73"/>
  <c r="B92" i="73"/>
  <c r="I92" i="73" s="1"/>
  <c r="J41" i="73"/>
  <c r="J50" i="73" s="1"/>
  <c r="E50" i="73"/>
  <c r="X87" i="73"/>
  <c r="Y87" i="73" s="1"/>
  <c r="X69" i="73"/>
  <c r="Y69" i="73" s="1"/>
  <c r="B91" i="73"/>
  <c r="I91" i="73" s="1"/>
  <c r="I12" i="73"/>
  <c r="E28" i="73"/>
  <c r="O24" i="54" s="1" a="1"/>
  <c r="O24" i="54" s="1"/>
  <c r="X90" i="73"/>
  <c r="X104" i="73"/>
  <c r="Y104" i="73" s="1"/>
  <c r="Y102" i="73"/>
  <c r="J105" i="73"/>
  <c r="B91" i="72"/>
  <c r="I91" i="72" s="1"/>
  <c r="X69" i="72"/>
  <c r="Y69" i="72" s="1"/>
  <c r="X87" i="72"/>
  <c r="Y87" i="72" s="1"/>
  <c r="Y28" i="72"/>
  <c r="Y33" i="72" s="1"/>
  <c r="I12" i="72"/>
  <c r="E28" i="72"/>
  <c r="O23" i="54" s="1" a="1"/>
  <c r="O23" i="54" s="1"/>
  <c r="J41" i="72"/>
  <c r="J50" i="72" s="1"/>
  <c r="E50" i="72"/>
  <c r="J16" i="72"/>
  <c r="B92" i="72"/>
  <c r="I92" i="72" s="1"/>
  <c r="Y71" i="72"/>
  <c r="Y102" i="72"/>
  <c r="X104" i="72"/>
  <c r="Y104" i="72" s="1"/>
  <c r="Y28" i="71"/>
  <c r="Y33"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X56"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86" i="65"/>
  <c r="Y86" i="65" s="1"/>
  <c r="X85" i="65"/>
  <c r="Y85" i="65" s="1"/>
  <c r="X90" i="65"/>
  <c r="Y93" i="65" s="1"/>
  <c r="S93" i="65"/>
  <c r="E28" i="65"/>
  <c r="O15" i="54" s="1" a="1"/>
  <c r="O15" i="54" s="1"/>
  <c r="I12" i="65"/>
  <c r="J16" i="65"/>
  <c r="B92" i="65"/>
  <c r="I92" i="65" s="1"/>
  <c r="X87" i="65"/>
  <c r="Y87" i="65" s="1"/>
  <c r="X69" i="65"/>
  <c r="Y69" i="65" s="1"/>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Y14"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Y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Y33" i="85" l="1"/>
  <c r="Y33" i="97"/>
  <c r="X86" i="71"/>
  <c r="Y86" i="71" s="1"/>
  <c r="Y33" i="80"/>
  <c r="B92" i="101"/>
  <c r="I92" i="101" s="1"/>
  <c r="X85" i="72"/>
  <c r="Y85" i="72" s="1"/>
  <c r="X87" i="95"/>
  <c r="Y87" i="95" s="1"/>
  <c r="Y105" i="95"/>
  <c r="J33" i="83"/>
  <c r="X69" i="100"/>
  <c r="Y69" i="100" s="1"/>
  <c r="Y105" i="79"/>
  <c r="X85" i="100"/>
  <c r="Y85" i="100" s="1"/>
  <c r="Y105" i="86"/>
  <c r="B90" i="66"/>
  <c r="X85" i="73"/>
  <c r="Y85" i="73" s="1"/>
  <c r="Y105" i="91"/>
  <c r="Y105" i="75"/>
  <c r="Y105" i="105"/>
  <c r="Y105" i="101"/>
  <c r="Y105" i="92"/>
  <c r="X85" i="92"/>
  <c r="Y85" i="92" s="1"/>
  <c r="Y105" i="89"/>
  <c r="Y105" i="81"/>
  <c r="Y105" i="73"/>
  <c r="X85" i="88"/>
  <c r="Y85" i="88" s="1"/>
  <c r="Y107" i="88" s="1"/>
  <c r="Y109" i="88" s="1"/>
  <c r="J111" i="88" s="1"/>
  <c r="X69" i="70"/>
  <c r="Y69" i="70" s="1"/>
  <c r="B91" i="101"/>
  <c r="I91" i="101" s="1"/>
  <c r="S93" i="100"/>
  <c r="X85" i="96"/>
  <c r="Y85" i="96" s="1"/>
  <c r="Y107" i="96" s="1"/>
  <c r="Y109" i="96" s="1"/>
  <c r="J111" i="96" s="1"/>
  <c r="S93" i="95"/>
  <c r="X85" i="80"/>
  <c r="Y85" i="80" s="1"/>
  <c r="X69" i="79"/>
  <c r="Y69" i="79" s="1"/>
  <c r="S93" i="72"/>
  <c r="O21" i="54" a="1"/>
  <c r="O21" i="54" s="1"/>
  <c r="O20" i="54" a="1"/>
  <c r="O20" i="54" s="1"/>
  <c r="J126" i="108"/>
  <c r="K19" i="54"/>
  <c r="J116" i="108"/>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X85" i="75"/>
  <c r="Y85" i="75" s="1"/>
  <c r="Y93" i="73"/>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Y107" i="65" s="1"/>
  <c r="Y109" i="65" s="1"/>
  <c r="J111" i="65" s="1"/>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X86" i="105"/>
  <c r="Y86" i="105" s="1"/>
  <c r="X85" i="105"/>
  <c r="Y85" i="105" s="1"/>
  <c r="J13" i="105"/>
  <c r="J28" i="105" s="1"/>
  <c r="J33" i="105" s="1"/>
  <c r="B90" i="105"/>
  <c r="I28" i="105"/>
  <c r="G33" i="105" s="1"/>
  <c r="E56" i="105" s="1"/>
  <c r="I57" i="105" s="1"/>
  <c r="X87" i="105"/>
  <c r="Y87" i="105" s="1"/>
  <c r="X69" i="105"/>
  <c r="Y69" i="105" s="1"/>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I57" i="104" s="1"/>
  <c r="B90" i="104"/>
  <c r="X87" i="104"/>
  <c r="Y87" i="104" s="1"/>
  <c r="X69" i="104"/>
  <c r="Y69" i="104" s="1"/>
  <c r="X90" i="103"/>
  <c r="Y93" i="103" s="1"/>
  <c r="S93" i="103"/>
  <c r="J13" i="103"/>
  <c r="J28" i="103" s="1"/>
  <c r="J33" i="103" s="1"/>
  <c r="B90" i="103"/>
  <c r="I28" i="103"/>
  <c r="G33" i="103" s="1"/>
  <c r="E56" i="103" s="1"/>
  <c r="I57" i="103" s="1"/>
  <c r="E59" i="103"/>
  <c r="I60" i="103" s="1"/>
  <c r="I72" i="103" s="1"/>
  <c r="J72" i="103" s="1"/>
  <c r="E65" i="103"/>
  <c r="I66" i="103" s="1"/>
  <c r="I71" i="103" s="1"/>
  <c r="J71" i="103" s="1"/>
  <c r="E62" i="103"/>
  <c r="I63" i="103" s="1"/>
  <c r="I68" i="103" s="1"/>
  <c r="J68" i="103" s="1"/>
  <c r="E53" i="103"/>
  <c r="I54" i="103" s="1"/>
  <c r="X86" i="103"/>
  <c r="Y86" i="103" s="1"/>
  <c r="X85" i="103"/>
  <c r="Y85"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I57"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Y69" i="99" s="1"/>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I57" i="99" s="1"/>
  <c r="J12" i="98"/>
  <c r="J28" i="98" s="1"/>
  <c r="J33" i="98" s="1"/>
  <c r="I28" i="98"/>
  <c r="G33" i="98" s="1"/>
  <c r="E56" i="98" s="1"/>
  <c r="I57"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Y69" i="97" s="1"/>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I57"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X86" i="95"/>
  <c r="Y86" i="95" s="1"/>
  <c r="X85" i="95"/>
  <c r="Y85" i="95" s="1"/>
  <c r="J12" i="95"/>
  <c r="J28" i="95" s="1"/>
  <c r="J33" i="95" s="1"/>
  <c r="I28" i="95"/>
  <c r="G33" i="95" s="1"/>
  <c r="E56" i="95" s="1"/>
  <c r="I57" i="95" s="1"/>
  <c r="B90" i="95"/>
  <c r="X86" i="94"/>
  <c r="Y86" i="94" s="1"/>
  <c r="X85" i="94"/>
  <c r="Y85" i="94" s="1"/>
  <c r="I28" i="94"/>
  <c r="G33" i="94" s="1"/>
  <c r="E56" i="94" s="1"/>
  <c r="I57"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I57" i="93" s="1"/>
  <c r="B90" i="93"/>
  <c r="E59" i="93"/>
  <c r="I60" i="93" s="1"/>
  <c r="I72" i="93" s="1"/>
  <c r="J72" i="93" s="1"/>
  <c r="E65" i="93"/>
  <c r="I66" i="93" s="1"/>
  <c r="I71" i="93" s="1"/>
  <c r="J71" i="93" s="1"/>
  <c r="E62" i="93"/>
  <c r="I63" i="93" s="1"/>
  <c r="I68" i="93" s="1"/>
  <c r="J68" i="93" s="1"/>
  <c r="E53" i="93"/>
  <c r="I54" i="93" s="1"/>
  <c r="X69" i="93"/>
  <c r="Y69" i="93" s="1"/>
  <c r="X87" i="93"/>
  <c r="Y87" i="93" s="1"/>
  <c r="X69" i="92"/>
  <c r="Y69" i="92" s="1"/>
  <c r="E59" i="92"/>
  <c r="I60" i="92" s="1"/>
  <c r="I72" i="92" s="1"/>
  <c r="J72" i="92" s="1"/>
  <c r="E65" i="92"/>
  <c r="I66" i="92" s="1"/>
  <c r="I71" i="92" s="1"/>
  <c r="J71" i="92" s="1"/>
  <c r="E62" i="92"/>
  <c r="I63" i="92" s="1"/>
  <c r="I68" i="92" s="1"/>
  <c r="J68" i="92" s="1"/>
  <c r="E53" i="92"/>
  <c r="I54" i="92" s="1"/>
  <c r="J12" i="92"/>
  <c r="J28" i="92" s="1"/>
  <c r="J33" i="92" s="1"/>
  <c r="I28" i="92"/>
  <c r="G33" i="92" s="1"/>
  <c r="E56" i="92" s="1"/>
  <c r="I57" i="92" s="1"/>
  <c r="B90" i="92"/>
  <c r="X90" i="92"/>
  <c r="Y93" i="92" s="1"/>
  <c r="S93" i="92"/>
  <c r="E62" i="91"/>
  <c r="I63" i="91" s="1"/>
  <c r="I68" i="91" s="1"/>
  <c r="J68" i="91" s="1"/>
  <c r="E65" i="91"/>
  <c r="I66" i="91" s="1"/>
  <c r="I71" i="91" s="1"/>
  <c r="J71" i="91" s="1"/>
  <c r="E59" i="91"/>
  <c r="I60" i="91" s="1"/>
  <c r="I72" i="91" s="1"/>
  <c r="J72" i="91" s="1"/>
  <c r="E53" i="91"/>
  <c r="I54" i="91" s="1"/>
  <c r="X85" i="91"/>
  <c r="Y85" i="91" s="1"/>
  <c r="X86" i="91"/>
  <c r="Y86" i="91" s="1"/>
  <c r="J12" i="91"/>
  <c r="J28" i="91" s="1"/>
  <c r="J33" i="91" s="1"/>
  <c r="I28" i="91"/>
  <c r="G33" i="91" s="1"/>
  <c r="E56" i="91" s="1"/>
  <c r="I57" i="91" s="1"/>
  <c r="B90" i="91"/>
  <c r="X90" i="91"/>
  <c r="Y93" i="91" s="1"/>
  <c r="S93" i="91"/>
  <c r="J12" i="90"/>
  <c r="J28" i="90" s="1"/>
  <c r="J33" i="90" s="1"/>
  <c r="B90" i="90"/>
  <c r="I28" i="90"/>
  <c r="G33" i="90" s="1"/>
  <c r="E56" i="90" s="1"/>
  <c r="I57" i="90" s="1"/>
  <c r="X87" i="90"/>
  <c r="Y87" i="90" s="1"/>
  <c r="X69" i="90"/>
  <c r="Y69" i="90" s="1"/>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I57" i="89" s="1"/>
  <c r="X86" i="89"/>
  <c r="Y86" i="89" s="1"/>
  <c r="X85" i="89"/>
  <c r="Y85" i="89" s="1"/>
  <c r="E59" i="89"/>
  <c r="I60" i="89" s="1"/>
  <c r="I72" i="89" s="1"/>
  <c r="J72" i="89" s="1"/>
  <c r="E62" i="89"/>
  <c r="I63" i="89" s="1"/>
  <c r="I68" i="89" s="1"/>
  <c r="J68" i="89" s="1"/>
  <c r="E53" i="89"/>
  <c r="I54" i="89" s="1"/>
  <c r="E65" i="89"/>
  <c r="I66" i="89" s="1"/>
  <c r="I71" i="89" s="1"/>
  <c r="J71" i="89" s="1"/>
  <c r="J12" i="88"/>
  <c r="J28" i="88" s="1"/>
  <c r="J33" i="88" s="1"/>
  <c r="I28" i="88"/>
  <c r="G33" i="88" s="1"/>
  <c r="E56" i="88" s="1"/>
  <c r="I57" i="88" s="1"/>
  <c r="B90" i="88"/>
  <c r="E59" i="88"/>
  <c r="I60" i="88" s="1"/>
  <c r="I72" i="88" s="1"/>
  <c r="J72" i="88" s="1"/>
  <c r="E62" i="88"/>
  <c r="I63" i="88" s="1"/>
  <c r="I68" i="88" s="1"/>
  <c r="J68" i="88" s="1"/>
  <c r="E65" i="88"/>
  <c r="I66" i="88" s="1"/>
  <c r="I71" i="88" s="1"/>
  <c r="J71" i="88" s="1"/>
  <c r="E53" i="88"/>
  <c r="I54" i="88" s="1"/>
  <c r="Y93" i="87"/>
  <c r="X86" i="87"/>
  <c r="Y86" i="87" s="1"/>
  <c r="X85" i="87"/>
  <c r="Y85" i="87" s="1"/>
  <c r="J12" i="87"/>
  <c r="J28" i="87" s="1"/>
  <c r="J33" i="87" s="1"/>
  <c r="I28" i="87"/>
  <c r="G33" i="87" s="1"/>
  <c r="E56" i="87" s="1"/>
  <c r="I57"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X86" i="85"/>
  <c r="Y86" i="85" s="1"/>
  <c r="X85" i="85"/>
  <c r="Y85" i="85" s="1"/>
  <c r="I28" i="85"/>
  <c r="G33" i="85" s="1"/>
  <c r="E56" i="85" s="1"/>
  <c r="I57"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X85" i="83"/>
  <c r="Y85" i="83"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X86" i="82"/>
  <c r="Y86" i="82" s="1"/>
  <c r="X85" i="82"/>
  <c r="Y85" i="82" s="1"/>
  <c r="J12" i="82"/>
  <c r="J28" i="82" s="1"/>
  <c r="J33" i="82" s="1"/>
  <c r="I28" i="82"/>
  <c r="G33" i="82" s="1"/>
  <c r="E56" i="82" s="1"/>
  <c r="I57"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I57" i="80" s="1"/>
  <c r="E59" i="80"/>
  <c r="I60" i="80" s="1"/>
  <c r="I72" i="80" s="1"/>
  <c r="J72" i="80" s="1"/>
  <c r="E62" i="80"/>
  <c r="I63" i="80" s="1"/>
  <c r="I68" i="80" s="1"/>
  <c r="J68" i="80" s="1"/>
  <c r="E53" i="80"/>
  <c r="I54" i="80" s="1"/>
  <c r="E65" i="80"/>
  <c r="I66" i="80" s="1"/>
  <c r="I71" i="80" s="1"/>
  <c r="J71" i="80" s="1"/>
  <c r="I28" i="79"/>
  <c r="G33" i="79" s="1"/>
  <c r="E56" i="79" s="1"/>
  <c r="I57" i="79" s="1"/>
  <c r="J12" i="79"/>
  <c r="J28" i="79" s="1"/>
  <c r="J33" i="79" s="1"/>
  <c r="B90" i="79"/>
  <c r="S93" i="79"/>
  <c r="X90" i="79"/>
  <c r="Y93" i="79" s="1"/>
  <c r="X86" i="79"/>
  <c r="Y86" i="79" s="1"/>
  <c r="X85" i="79"/>
  <c r="Y85"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Y69" i="78" s="1"/>
  <c r="B90" i="78"/>
  <c r="J12" i="78"/>
  <c r="J28" i="78" s="1"/>
  <c r="J33" i="78" s="1"/>
  <c r="I28" i="78"/>
  <c r="G33" i="78" s="1"/>
  <c r="E56" i="78" s="1"/>
  <c r="I57" i="78" s="1"/>
  <c r="J12" i="77"/>
  <c r="I28" i="77"/>
  <c r="G33" i="77" s="1"/>
  <c r="E56" i="77" s="1"/>
  <c r="I57"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I57" i="75" s="1"/>
  <c r="B90" i="75"/>
  <c r="E59" i="74"/>
  <c r="I60" i="74" s="1"/>
  <c r="I72" i="74" s="1"/>
  <c r="J72" i="74" s="1"/>
  <c r="E62" i="74"/>
  <c r="I63" i="74" s="1"/>
  <c r="I68" i="74" s="1"/>
  <c r="J68" i="74" s="1"/>
  <c r="E65" i="74"/>
  <c r="I66" i="74" s="1"/>
  <c r="I71" i="74" s="1"/>
  <c r="J71" i="74" s="1"/>
  <c r="E53" i="74"/>
  <c r="I54" i="74" s="1"/>
  <c r="X86" i="74"/>
  <c r="Y86" i="74" s="1"/>
  <c r="X85" i="74"/>
  <c r="Y85" i="74" s="1"/>
  <c r="J12" i="74"/>
  <c r="J28" i="74" s="1"/>
  <c r="J33" i="74" s="1"/>
  <c r="I28" i="74"/>
  <c r="G33" i="74" s="1"/>
  <c r="E56" i="74" s="1"/>
  <c r="I57"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I57"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I57" i="72" s="1"/>
  <c r="B90" i="72"/>
  <c r="X87" i="71"/>
  <c r="Y87" i="71" s="1"/>
  <c r="X69" i="71"/>
  <c r="Y69" i="71" s="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I57" i="70" s="1"/>
  <c r="E59" i="70"/>
  <c r="I60" i="70" s="1"/>
  <c r="I72" i="70" s="1"/>
  <c r="J72" i="70" s="1"/>
  <c r="E62" i="70"/>
  <c r="I63" i="70" s="1"/>
  <c r="I68" i="70" s="1"/>
  <c r="J68" i="70" s="1"/>
  <c r="E53" i="70"/>
  <c r="I54" i="70" s="1"/>
  <c r="E65" i="70"/>
  <c r="I66" i="70" s="1"/>
  <c r="I71" i="70" s="1"/>
  <c r="J71" i="70" s="1"/>
  <c r="X90" i="70"/>
  <c r="Y93" i="70" s="1"/>
  <c r="S93" i="70"/>
  <c r="X86" i="70"/>
  <c r="Y86" i="70" s="1"/>
  <c r="X85" i="70"/>
  <c r="Y85" i="70" s="1"/>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I57"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I90" i="66"/>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I57" i="65" s="1"/>
  <c r="S91" i="64"/>
  <c r="X91" i="64" s="1"/>
  <c r="J15" i="64"/>
  <c r="B91" i="64"/>
  <c r="I91" i="64" s="1"/>
  <c r="J12" i="64"/>
  <c r="I28" i="64"/>
  <c r="G33" i="64" s="1"/>
  <c r="E56" i="64" s="1"/>
  <c r="I57"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C59" i="58"/>
  <c r="I60" i="58" s="1"/>
  <c r="I72" i="58" s="1"/>
  <c r="J72" i="58" s="1"/>
  <c r="C53" i="58"/>
  <c r="I54" i="58" s="1"/>
  <c r="C62" i="58"/>
  <c r="I63" i="58" s="1"/>
  <c r="I68" i="58" s="1"/>
  <c r="J68" i="58" s="1"/>
  <c r="C65" i="58"/>
  <c r="I66" i="58" s="1"/>
  <c r="I71" i="58" s="1"/>
  <c r="J71" i="58" s="1"/>
  <c r="T55" i="101" l="1"/>
  <c r="T52" i="101"/>
  <c r="E56" i="101"/>
  <c r="I57" i="101" s="1"/>
  <c r="Y107" i="100"/>
  <c r="Y109" i="100" s="1"/>
  <c r="J111" i="100" s="1"/>
  <c r="Y107" i="80"/>
  <c r="Y109" i="80" s="1"/>
  <c r="J111" i="80" s="1"/>
  <c r="Y107" i="73"/>
  <c r="Y109" i="73" s="1"/>
  <c r="J111" i="73" s="1"/>
  <c r="J93" i="66"/>
  <c r="Y107" i="90"/>
  <c r="Y109" i="90" s="1"/>
  <c r="J111" i="90" s="1"/>
  <c r="Y107" i="84"/>
  <c r="Y109" i="84" s="1"/>
  <c r="J111" i="84" s="1"/>
  <c r="I57" i="60"/>
  <c r="I86" i="60" s="1"/>
  <c r="J86" i="60" s="1"/>
  <c r="T55" i="60"/>
  <c r="X56" i="60" s="1"/>
  <c r="I57" i="97"/>
  <c r="I86" i="97" s="1"/>
  <c r="J86" i="97" s="1"/>
  <c r="T55" i="97"/>
  <c r="X56" i="97" s="1"/>
  <c r="I57" i="59"/>
  <c r="I86" i="59" s="1"/>
  <c r="J86" i="59" s="1"/>
  <c r="T55" i="59"/>
  <c r="X56" i="59" s="1"/>
  <c r="Y107" i="72"/>
  <c r="Y109" i="72" s="1"/>
  <c r="J111" i="72" s="1"/>
  <c r="Y107" i="99"/>
  <c r="Y109" i="99" s="1"/>
  <c r="J111" i="99" s="1"/>
  <c r="R19" i="54"/>
  <c r="G19" i="54"/>
  <c r="F19" i="54"/>
  <c r="Y107" i="78"/>
  <c r="Y109" i="78" s="1"/>
  <c r="J111" i="78" s="1"/>
  <c r="Y107" i="81"/>
  <c r="Y109" i="81" s="1"/>
  <c r="J111" i="81" s="1"/>
  <c r="Y107" i="75"/>
  <c r="Y109" i="75" s="1"/>
  <c r="J111" i="75" s="1"/>
  <c r="J28" i="101"/>
  <c r="J33" i="101" s="1"/>
  <c r="J28" i="59"/>
  <c r="J33" i="59" s="1"/>
  <c r="Y107" i="104"/>
  <c r="Y109" i="104" s="1"/>
  <c r="J111" i="104" s="1"/>
  <c r="Y107" i="98"/>
  <c r="Y109" i="98" s="1"/>
  <c r="J111" i="98" s="1"/>
  <c r="Y107" i="91"/>
  <c r="Y109" i="91" s="1"/>
  <c r="J111" i="91" s="1"/>
  <c r="Y107" i="83"/>
  <c r="Y109" i="83" s="1"/>
  <c r="J111" i="83" s="1"/>
  <c r="Y107" i="82"/>
  <c r="Y109" i="82" s="1"/>
  <c r="J111" i="82" s="1"/>
  <c r="Y107" i="74"/>
  <c r="Y109" i="74" s="1"/>
  <c r="J111" i="74" s="1"/>
  <c r="J120" i="108"/>
  <c r="J124" i="108" s="1"/>
  <c r="L19" i="54"/>
  <c r="S19" i="54" s="1"/>
  <c r="W19" i="54" s="1"/>
  <c r="X85" i="66"/>
  <c r="Y85" i="66" s="1"/>
  <c r="S93" i="66"/>
  <c r="B93" i="66"/>
  <c r="Y107" i="105"/>
  <c r="Y109" i="105" s="1"/>
  <c r="J111" i="105" s="1"/>
  <c r="T61" i="101"/>
  <c r="X62" i="101" s="1"/>
  <c r="X67" i="101" s="1"/>
  <c r="Y67" i="101" s="1"/>
  <c r="T58" i="101"/>
  <c r="X59" i="101" s="1"/>
  <c r="X71" i="101" s="1"/>
  <c r="Y71" i="101" s="1"/>
  <c r="X53" i="101"/>
  <c r="T64" i="101"/>
  <c r="X65" i="101" s="1"/>
  <c r="X70" i="101" s="1"/>
  <c r="Y70" i="101" s="1"/>
  <c r="Y13" i="101"/>
  <c r="Y28" i="101" s="1"/>
  <c r="Y33" i="101" s="1"/>
  <c r="S90" i="101"/>
  <c r="X28" i="101"/>
  <c r="Y107" i="93"/>
  <c r="Y109" i="93" s="1"/>
  <c r="J111" i="93" s="1"/>
  <c r="Y107" i="92"/>
  <c r="Y109" i="92" s="1"/>
  <c r="J111" i="92"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J70" i="105" s="1"/>
  <c r="B93" i="105"/>
  <c r="I90" i="105"/>
  <c r="J93" i="105" s="1"/>
  <c r="I86" i="105"/>
  <c r="J86" i="105" s="1"/>
  <c r="I85" i="105"/>
  <c r="J85" i="105" s="1"/>
  <c r="I86" i="104"/>
  <c r="J86" i="104" s="1"/>
  <c r="I85" i="104"/>
  <c r="J85" i="104" s="1"/>
  <c r="B93" i="104"/>
  <c r="I90" i="104"/>
  <c r="J93" i="104" s="1"/>
  <c r="I70" i="104"/>
  <c r="J70" i="104" s="1"/>
  <c r="I87" i="104"/>
  <c r="J87" i="104" s="1"/>
  <c r="I70" i="103"/>
  <c r="J70" i="103" s="1"/>
  <c r="I87" i="103"/>
  <c r="J87" i="103" s="1"/>
  <c r="B93" i="103"/>
  <c r="I90" i="103"/>
  <c r="J93" i="103" s="1"/>
  <c r="I86" i="103"/>
  <c r="J86" i="103" s="1"/>
  <c r="I85" i="103"/>
  <c r="J85" i="103" s="1"/>
  <c r="Y107" i="103"/>
  <c r="Y109" i="103" s="1"/>
  <c r="J111" i="103" s="1"/>
  <c r="J28" i="102"/>
  <c r="J33" i="102" s="1"/>
  <c r="I70" i="102"/>
  <c r="J70" i="102" s="1"/>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B93" i="101"/>
  <c r="I90" i="101"/>
  <c r="J93" i="101" s="1"/>
  <c r="I87" i="101"/>
  <c r="J87" i="101" s="1"/>
  <c r="I70" i="101"/>
  <c r="J70" i="101" s="1"/>
  <c r="I87" i="100"/>
  <c r="J87" i="100" s="1"/>
  <c r="I70" i="100"/>
  <c r="J70" i="100" s="1"/>
  <c r="I86" i="100"/>
  <c r="J86" i="100" s="1"/>
  <c r="I85" i="100"/>
  <c r="J85" i="100" s="1"/>
  <c r="B93" i="100"/>
  <c r="I90" i="100"/>
  <c r="J93" i="100" s="1"/>
  <c r="I86" i="99"/>
  <c r="J86" i="99" s="1"/>
  <c r="I85" i="99"/>
  <c r="J85" i="99" s="1"/>
  <c r="B93" i="99"/>
  <c r="I90" i="99"/>
  <c r="J93" i="99" s="1"/>
  <c r="I87" i="99"/>
  <c r="J87" i="99" s="1"/>
  <c r="I70" i="99"/>
  <c r="J70" i="99" s="1"/>
  <c r="I70" i="98"/>
  <c r="J70" i="98" s="1"/>
  <c r="I87" i="98"/>
  <c r="J87" i="98" s="1"/>
  <c r="I86" i="98"/>
  <c r="J86" i="98" s="1"/>
  <c r="I85" i="98"/>
  <c r="J85" i="98" s="1"/>
  <c r="B93" i="98"/>
  <c r="I90" i="98"/>
  <c r="J93" i="98" s="1"/>
  <c r="I70" i="97"/>
  <c r="J70" i="97" s="1"/>
  <c r="I87" i="97"/>
  <c r="J87" i="97" s="1"/>
  <c r="B93" i="97"/>
  <c r="I90" i="97"/>
  <c r="J93" i="97" s="1"/>
  <c r="I70" i="96"/>
  <c r="J70" i="96" s="1"/>
  <c r="I87" i="96"/>
  <c r="J87" i="96" s="1"/>
  <c r="B93" i="96"/>
  <c r="I90" i="96"/>
  <c r="J93" i="96" s="1"/>
  <c r="I86" i="96"/>
  <c r="J86" i="96" s="1"/>
  <c r="I85" i="96"/>
  <c r="J85" i="96" s="1"/>
  <c r="Y107" i="95"/>
  <c r="Y109" i="95" s="1"/>
  <c r="J111" i="95" s="1"/>
  <c r="I86" i="95"/>
  <c r="J86" i="95" s="1"/>
  <c r="I85" i="95"/>
  <c r="J85" i="95" s="1"/>
  <c r="I87" i="95"/>
  <c r="J87" i="95" s="1"/>
  <c r="I70" i="95"/>
  <c r="J70" i="95" s="1"/>
  <c r="B93" i="95"/>
  <c r="I90" i="95"/>
  <c r="J93" i="95" s="1"/>
  <c r="Y107" i="94"/>
  <c r="Y109" i="94" s="1"/>
  <c r="J111" i="94" s="1"/>
  <c r="I70" i="94"/>
  <c r="J70" i="94" s="1"/>
  <c r="I87" i="94"/>
  <c r="J87" i="94" s="1"/>
  <c r="B93" i="94"/>
  <c r="I90" i="94"/>
  <c r="J93" i="94" s="1"/>
  <c r="I85" i="94"/>
  <c r="J85" i="94" s="1"/>
  <c r="I86" i="94"/>
  <c r="J86" i="94" s="1"/>
  <c r="I87" i="93"/>
  <c r="J87" i="93" s="1"/>
  <c r="I70" i="93"/>
  <c r="J70" i="93" s="1"/>
  <c r="B93" i="93"/>
  <c r="I90" i="93"/>
  <c r="J93" i="93" s="1"/>
  <c r="I86" i="93"/>
  <c r="J86" i="93" s="1"/>
  <c r="I85" i="93"/>
  <c r="J85" i="93" s="1"/>
  <c r="I87" i="92"/>
  <c r="J87" i="92" s="1"/>
  <c r="I70" i="92"/>
  <c r="J70" i="92" s="1"/>
  <c r="B93" i="92"/>
  <c r="I90" i="92"/>
  <c r="J93" i="92" s="1"/>
  <c r="I86" i="92"/>
  <c r="J86" i="92" s="1"/>
  <c r="I85" i="92"/>
  <c r="J85" i="92" s="1"/>
  <c r="I86" i="91"/>
  <c r="J86" i="91" s="1"/>
  <c r="I85" i="91"/>
  <c r="J85" i="91" s="1"/>
  <c r="B93" i="91"/>
  <c r="I90" i="91"/>
  <c r="J93" i="91" s="1"/>
  <c r="I70" i="91"/>
  <c r="J70" i="91" s="1"/>
  <c r="I87" i="91"/>
  <c r="J87" i="91" s="1"/>
  <c r="I86" i="90"/>
  <c r="J86" i="90" s="1"/>
  <c r="I85" i="90"/>
  <c r="J85" i="90" s="1"/>
  <c r="B93" i="90"/>
  <c r="I90" i="90"/>
  <c r="J93" i="90" s="1"/>
  <c r="I70" i="90"/>
  <c r="J70" i="90" s="1"/>
  <c r="I87" i="90"/>
  <c r="J87" i="90" s="1"/>
  <c r="I70" i="89"/>
  <c r="J70" i="89" s="1"/>
  <c r="I87" i="89"/>
  <c r="J87" i="89" s="1"/>
  <c r="I86" i="89"/>
  <c r="J86" i="89" s="1"/>
  <c r="I85" i="89"/>
  <c r="J85" i="89" s="1"/>
  <c r="B93" i="89"/>
  <c r="I90" i="89"/>
  <c r="J93" i="89" s="1"/>
  <c r="Y107" i="89"/>
  <c r="Y109" i="89" s="1"/>
  <c r="J111" i="89" s="1"/>
  <c r="I70" i="88"/>
  <c r="J70" i="88" s="1"/>
  <c r="I87" i="88"/>
  <c r="J87" i="88" s="1"/>
  <c r="I86" i="88"/>
  <c r="J86" i="88" s="1"/>
  <c r="I85" i="88"/>
  <c r="J85" i="88" s="1"/>
  <c r="B93" i="88"/>
  <c r="I90" i="88"/>
  <c r="J93" i="88" s="1"/>
  <c r="Y107" i="87"/>
  <c r="Y109" i="87" s="1"/>
  <c r="J111" i="87" s="1"/>
  <c r="I86" i="87"/>
  <c r="J86" i="87" s="1"/>
  <c r="I85" i="87"/>
  <c r="J85" i="87" s="1"/>
  <c r="I70" i="87"/>
  <c r="J70" i="87" s="1"/>
  <c r="I87" i="87"/>
  <c r="J87" i="87" s="1"/>
  <c r="B93" i="87"/>
  <c r="I90" i="87"/>
  <c r="J93" i="87" s="1"/>
  <c r="I70" i="86"/>
  <c r="J70" i="86" s="1"/>
  <c r="I87" i="86"/>
  <c r="J87" i="86" s="1"/>
  <c r="I86" i="86"/>
  <c r="J86" i="86" s="1"/>
  <c r="I85" i="86"/>
  <c r="J85" i="86" s="1"/>
  <c r="B93" i="86"/>
  <c r="I90" i="86"/>
  <c r="J93" i="86" s="1"/>
  <c r="Y107" i="85"/>
  <c r="Y109" i="85" s="1"/>
  <c r="J111" i="85" s="1"/>
  <c r="I86" i="85"/>
  <c r="J86" i="85" s="1"/>
  <c r="I85" i="85"/>
  <c r="J85" i="85" s="1"/>
  <c r="B93" i="85"/>
  <c r="I90" i="85"/>
  <c r="J93" i="85" s="1"/>
  <c r="I70" i="85"/>
  <c r="J70" i="85" s="1"/>
  <c r="I87" i="85"/>
  <c r="J87" i="85" s="1"/>
  <c r="B93" i="84"/>
  <c r="I90" i="84"/>
  <c r="J93" i="84" s="1"/>
  <c r="I70" i="84"/>
  <c r="J70" i="84" s="1"/>
  <c r="I87" i="84"/>
  <c r="J87" i="84" s="1"/>
  <c r="I86" i="84"/>
  <c r="J86" i="84" s="1"/>
  <c r="I85" i="84"/>
  <c r="J85" i="84" s="1"/>
  <c r="I70" i="83"/>
  <c r="J70" i="83" s="1"/>
  <c r="I87" i="83"/>
  <c r="J87" i="83" s="1"/>
  <c r="B93" i="82"/>
  <c r="I90" i="82"/>
  <c r="J93" i="82" s="1"/>
  <c r="I86" i="82"/>
  <c r="J86" i="82" s="1"/>
  <c r="I85" i="82"/>
  <c r="J85" i="82" s="1"/>
  <c r="I70" i="82"/>
  <c r="J70" i="82" s="1"/>
  <c r="I87" i="82"/>
  <c r="J87" i="82" s="1"/>
  <c r="I86" i="81"/>
  <c r="J86" i="81" s="1"/>
  <c r="I85" i="81"/>
  <c r="J85" i="81" s="1"/>
  <c r="B93" i="81"/>
  <c r="I90" i="81"/>
  <c r="J93" i="81" s="1"/>
  <c r="I70" i="81"/>
  <c r="J70" i="81" s="1"/>
  <c r="I87" i="81"/>
  <c r="J87" i="81" s="1"/>
  <c r="I70" i="80"/>
  <c r="J70" i="80" s="1"/>
  <c r="I87" i="80"/>
  <c r="J87" i="80" s="1"/>
  <c r="I86" i="80"/>
  <c r="J86" i="80" s="1"/>
  <c r="I85" i="80"/>
  <c r="J85" i="80" s="1"/>
  <c r="B93" i="80"/>
  <c r="I90" i="80"/>
  <c r="J93" i="80" s="1"/>
  <c r="Y109" i="79"/>
  <c r="J111" i="79" s="1"/>
  <c r="B93" i="79"/>
  <c r="I90" i="79"/>
  <c r="J93" i="79" s="1"/>
  <c r="I70" i="79"/>
  <c r="J70" i="79" s="1"/>
  <c r="I87" i="79"/>
  <c r="J87" i="79" s="1"/>
  <c r="I86" i="79"/>
  <c r="J86" i="79" s="1"/>
  <c r="I85" i="79"/>
  <c r="J85" i="79" s="1"/>
  <c r="B93" i="78"/>
  <c r="I90" i="78"/>
  <c r="J93" i="78" s="1"/>
  <c r="I70" i="78"/>
  <c r="J70" i="78" s="1"/>
  <c r="I87" i="78"/>
  <c r="J87" i="78" s="1"/>
  <c r="I86" i="78"/>
  <c r="J86" i="78" s="1"/>
  <c r="I85" i="78"/>
  <c r="J85" i="78" s="1"/>
  <c r="I70" i="77"/>
  <c r="J70" i="77" s="1"/>
  <c r="I87" i="77"/>
  <c r="J87" i="77" s="1"/>
  <c r="X28" i="77"/>
  <c r="V33" i="77" s="1"/>
  <c r="X56" i="77" s="1"/>
  <c r="Y12" i="77"/>
  <c r="Y28" i="77" s="1"/>
  <c r="Y33" i="77" s="1"/>
  <c r="S90" i="77"/>
  <c r="B93" i="77"/>
  <c r="I90" i="77"/>
  <c r="J93" i="77" s="1"/>
  <c r="I86" i="77"/>
  <c r="J86" i="77" s="1"/>
  <c r="I85" i="77"/>
  <c r="J85" i="77" s="1"/>
  <c r="T58" i="77"/>
  <c r="X59" i="77" s="1"/>
  <c r="X71" i="77" s="1"/>
  <c r="Y71" i="77" s="1"/>
  <c r="T64" i="77"/>
  <c r="X65" i="77" s="1"/>
  <c r="X70" i="77" s="1"/>
  <c r="Y70" i="77" s="1"/>
  <c r="X53" i="77"/>
  <c r="T61" i="77"/>
  <c r="X62" i="77" s="1"/>
  <c r="X67" i="77" s="1"/>
  <c r="Y67" i="77" s="1"/>
  <c r="J28" i="77"/>
  <c r="J33" i="77" s="1"/>
  <c r="B93" i="76"/>
  <c r="I90" i="76"/>
  <c r="J93" i="76" s="1"/>
  <c r="I70" i="76"/>
  <c r="J70" i="76" s="1"/>
  <c r="I87" i="76"/>
  <c r="J87" i="76" s="1"/>
  <c r="I86" i="76"/>
  <c r="J86" i="76" s="1"/>
  <c r="I85" i="76"/>
  <c r="J85" i="76" s="1"/>
  <c r="B93" i="75"/>
  <c r="I90" i="75"/>
  <c r="J93" i="75" s="1"/>
  <c r="I86" i="75"/>
  <c r="J86" i="75" s="1"/>
  <c r="I85" i="75"/>
  <c r="J85" i="75" s="1"/>
  <c r="I70" i="75"/>
  <c r="J70" i="75" s="1"/>
  <c r="I87" i="75"/>
  <c r="J87" i="75" s="1"/>
  <c r="I86" i="74"/>
  <c r="J86" i="74" s="1"/>
  <c r="I85" i="74"/>
  <c r="J85" i="74" s="1"/>
  <c r="B93" i="74"/>
  <c r="I90" i="74"/>
  <c r="J93" i="74" s="1"/>
  <c r="I87" i="74"/>
  <c r="J87" i="74" s="1"/>
  <c r="I70" i="74"/>
  <c r="J70" i="74" s="1"/>
  <c r="B93" i="73"/>
  <c r="I90" i="73"/>
  <c r="J93" i="73" s="1"/>
  <c r="I70" i="73"/>
  <c r="J70" i="73" s="1"/>
  <c r="I87" i="73"/>
  <c r="J87" i="73" s="1"/>
  <c r="I85" i="73"/>
  <c r="J85" i="73" s="1"/>
  <c r="I86" i="73"/>
  <c r="J86" i="73" s="1"/>
  <c r="B93" i="72"/>
  <c r="I90" i="72"/>
  <c r="J93" i="72" s="1"/>
  <c r="I86" i="72"/>
  <c r="J86" i="72" s="1"/>
  <c r="I85" i="72"/>
  <c r="J85" i="72" s="1"/>
  <c r="I70" i="72"/>
  <c r="J70" i="72" s="1"/>
  <c r="I87" i="72"/>
  <c r="J87" i="72" s="1"/>
  <c r="Y107" i="71"/>
  <c r="Y109" i="71" s="1"/>
  <c r="J111" i="71" s="1"/>
  <c r="B93" i="71"/>
  <c r="I90" i="71"/>
  <c r="J93" i="71" s="1"/>
  <c r="I70" i="71"/>
  <c r="J70" i="71" s="1"/>
  <c r="I87" i="71"/>
  <c r="J87" i="71" s="1"/>
  <c r="I85" i="71"/>
  <c r="J85" i="71" s="1"/>
  <c r="I86" i="71"/>
  <c r="J86" i="71" s="1"/>
  <c r="Y107" i="70"/>
  <c r="Y109" i="70" s="1"/>
  <c r="J111" i="70" s="1"/>
  <c r="I70" i="70"/>
  <c r="J70" i="70" s="1"/>
  <c r="I87" i="70"/>
  <c r="J87" i="70" s="1"/>
  <c r="I86" i="70"/>
  <c r="J86" i="70" s="1"/>
  <c r="I85" i="70"/>
  <c r="J85" i="70" s="1"/>
  <c r="B93" i="70"/>
  <c r="I90" i="70"/>
  <c r="J93" i="70" s="1"/>
  <c r="T61" i="69"/>
  <c r="X62" i="69" s="1"/>
  <c r="X67" i="69" s="1"/>
  <c r="Y67" i="69" s="1"/>
  <c r="T58" i="69"/>
  <c r="X59" i="69" s="1"/>
  <c r="X71" i="69" s="1"/>
  <c r="Y71" i="69" s="1"/>
  <c r="T64" i="69"/>
  <c r="X65" i="69" s="1"/>
  <c r="X70" i="69" s="1"/>
  <c r="Y70" i="69" s="1"/>
  <c r="T52" i="69"/>
  <c r="X53" i="69" s="1"/>
  <c r="I86" i="69"/>
  <c r="J86" i="69" s="1"/>
  <c r="I85" i="69"/>
  <c r="J85" i="69" s="1"/>
  <c r="B93" i="69"/>
  <c r="I90" i="69"/>
  <c r="J93" i="69" s="1"/>
  <c r="Y12" i="69"/>
  <c r="Y28" i="69" s="1"/>
  <c r="Y33" i="69" s="1"/>
  <c r="X28" i="69"/>
  <c r="V33" i="69" s="1"/>
  <c r="X56" i="69" s="1"/>
  <c r="X85" i="69" s="1"/>
  <c r="S90" i="69"/>
  <c r="J28" i="69"/>
  <c r="J33" i="69" s="1"/>
  <c r="I87" i="69"/>
  <c r="J87" i="69" s="1"/>
  <c r="I70" i="69"/>
  <c r="J70" i="69" s="1"/>
  <c r="I87" i="68"/>
  <c r="J87" i="68" s="1"/>
  <c r="I70" i="68"/>
  <c r="J70" i="68" s="1"/>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J70" i="67" s="1"/>
  <c r="I87" i="67"/>
  <c r="J87" i="67" s="1"/>
  <c r="J28" i="67"/>
  <c r="J33" i="67" s="1"/>
  <c r="I86" i="67"/>
  <c r="J86" i="67" s="1"/>
  <c r="I85" i="67"/>
  <c r="J85" i="67" s="1"/>
  <c r="B93" i="67"/>
  <c r="I90" i="67"/>
  <c r="J93" i="67" s="1"/>
  <c r="I70" i="66"/>
  <c r="J70" i="66" s="1"/>
  <c r="I87" i="66"/>
  <c r="J87" i="66" s="1"/>
  <c r="I86" i="65"/>
  <c r="J86" i="65" s="1"/>
  <c r="I85" i="65"/>
  <c r="J85" i="65" s="1"/>
  <c r="B93" i="65"/>
  <c r="I90" i="65"/>
  <c r="J93" i="65" s="1"/>
  <c r="I70" i="65"/>
  <c r="J70" i="65" s="1"/>
  <c r="I87" i="65"/>
  <c r="J87" i="65" s="1"/>
  <c r="T52" i="64"/>
  <c r="X53" i="64" s="1"/>
  <c r="T58" i="64"/>
  <c r="X59" i="64" s="1"/>
  <c r="X71" i="64" s="1"/>
  <c r="Y71" i="64" s="1"/>
  <c r="T64" i="64"/>
  <c r="X65" i="64" s="1"/>
  <c r="X70" i="64" s="1"/>
  <c r="Y70" i="64" s="1"/>
  <c r="T61" i="64"/>
  <c r="X62" i="64" s="1"/>
  <c r="X67" i="64" s="1"/>
  <c r="Y67" i="64" s="1"/>
  <c r="J28" i="64"/>
  <c r="J33" i="64" s="1"/>
  <c r="I70" i="64"/>
  <c r="J70" i="64" s="1"/>
  <c r="I87" i="64"/>
  <c r="J87" i="64" s="1"/>
  <c r="B93" i="64"/>
  <c r="I90" i="64"/>
  <c r="J93" i="64" s="1"/>
  <c r="X28" i="64"/>
  <c r="V33" i="64" s="1"/>
  <c r="X56" i="64" s="1"/>
  <c r="S90" i="64"/>
  <c r="Y12" i="64"/>
  <c r="Y28" i="64" s="1"/>
  <c r="Y33" i="64" s="1"/>
  <c r="I86" i="64"/>
  <c r="J86" i="64" s="1"/>
  <c r="I85" i="64"/>
  <c r="J85" i="64" s="1"/>
  <c r="J28" i="63"/>
  <c r="J33" i="63" s="1"/>
  <c r="I70" i="63"/>
  <c r="J70" i="63" s="1"/>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J70" i="62" s="1"/>
  <c r="I87" i="62"/>
  <c r="J87" i="62" s="1"/>
  <c r="I70" i="61"/>
  <c r="J70" i="61" s="1"/>
  <c r="I87" i="61"/>
  <c r="J87" i="61" s="1"/>
  <c r="I86" i="61"/>
  <c r="J86" i="61" s="1"/>
  <c r="I85" i="61"/>
  <c r="J85" i="61" s="1"/>
  <c r="B93" i="61"/>
  <c r="I90" i="61"/>
  <c r="J93" i="61" s="1"/>
  <c r="B93" i="60"/>
  <c r="I90" i="60"/>
  <c r="J93" i="60" s="1"/>
  <c r="I70" i="60"/>
  <c r="J70" i="60" s="1"/>
  <c r="I87" i="60"/>
  <c r="J87" i="60" s="1"/>
  <c r="S93" i="59"/>
  <c r="X90" i="59"/>
  <c r="Y93" i="59" s="1"/>
  <c r="T58" i="59"/>
  <c r="X59" i="59" s="1"/>
  <c r="X71" i="59" s="1"/>
  <c r="Y71" i="59" s="1"/>
  <c r="T52" i="59"/>
  <c r="X53" i="59" s="1"/>
  <c r="T64" i="59"/>
  <c r="X65" i="59" s="1"/>
  <c r="X70" i="59" s="1"/>
  <c r="Y70" i="59" s="1"/>
  <c r="T61" i="59"/>
  <c r="X62" i="59" s="1"/>
  <c r="X67" i="59" s="1"/>
  <c r="Y67" i="59" s="1"/>
  <c r="I70" i="59"/>
  <c r="J70" i="59" s="1"/>
  <c r="I87" i="59"/>
  <c r="J87" i="59" s="1"/>
  <c r="B93" i="59"/>
  <c r="I90" i="59"/>
  <c r="J93" i="59" s="1"/>
  <c r="Y38" i="58"/>
  <c r="B93" i="58"/>
  <c r="I90" i="58"/>
  <c r="J93" i="58" s="1"/>
  <c r="I70" i="58"/>
  <c r="J70" i="58" s="1"/>
  <c r="I87" i="58"/>
  <c r="J87" i="58" s="1"/>
  <c r="I86" i="58"/>
  <c r="J86" i="58" s="1"/>
  <c r="I85" i="58"/>
  <c r="J85" i="58" s="1"/>
  <c r="X56" i="101" l="1"/>
  <c r="I85" i="101"/>
  <c r="J85" i="101" s="1"/>
  <c r="I86" i="101"/>
  <c r="J86" i="101" s="1"/>
  <c r="I85" i="60"/>
  <c r="J85" i="60" s="1"/>
  <c r="J107" i="60" s="1"/>
  <c r="I85" i="97"/>
  <c r="J85" i="97" s="1"/>
  <c r="J107" i="97" s="1"/>
  <c r="J109" i="97" s="1"/>
  <c r="I114" i="97" s="1"/>
  <c r="I85" i="59"/>
  <c r="J85" i="59" s="1"/>
  <c r="J107" i="59" s="1"/>
  <c r="I9" i="54" s="1"/>
  <c r="Q9" i="54" s="1"/>
  <c r="J107" i="70"/>
  <c r="I21" i="54" s="1"/>
  <c r="Q21" i="54" s="1"/>
  <c r="X86" i="60"/>
  <c r="Y86" i="60" s="1"/>
  <c r="X85" i="60"/>
  <c r="Y85" i="60" s="1"/>
  <c r="X85" i="97"/>
  <c r="Y85" i="97" s="1"/>
  <c r="X86" i="97"/>
  <c r="Y86" i="97" s="1"/>
  <c r="X85" i="59"/>
  <c r="Y85" i="59" s="1"/>
  <c r="X86" i="59"/>
  <c r="Y86" i="59" s="1"/>
  <c r="J107" i="61"/>
  <c r="J109" i="61" s="1"/>
  <c r="J107" i="88"/>
  <c r="I39" i="54" s="1"/>
  <c r="Q39" i="54" s="1"/>
  <c r="J107" i="100"/>
  <c r="I51" i="54" s="1"/>
  <c r="Q51" i="54" s="1"/>
  <c r="J107" i="98"/>
  <c r="I49" i="54" s="1"/>
  <c r="J107" i="95"/>
  <c r="I46" i="54" s="1"/>
  <c r="Q46" i="54" s="1"/>
  <c r="J107" i="89"/>
  <c r="I40" i="54" s="1"/>
  <c r="Q40" i="54" s="1"/>
  <c r="J107" i="72"/>
  <c r="I23" i="54" s="1"/>
  <c r="Q23" i="54" s="1"/>
  <c r="J107" i="69"/>
  <c r="I20" i="54" s="1"/>
  <c r="Q20" i="54" s="1"/>
  <c r="M19" i="54"/>
  <c r="Z19" i="54" s="1"/>
  <c r="E141" i="106"/>
  <c r="G141" i="106" s="1"/>
  <c r="X87" i="101"/>
  <c r="Y87" i="101" s="1"/>
  <c r="X69" i="101"/>
  <c r="Y69" i="101" s="1"/>
  <c r="S93" i="101"/>
  <c r="X90" i="101"/>
  <c r="Y93" i="101" s="1"/>
  <c r="X85" i="101"/>
  <c r="Y85" i="101" s="1"/>
  <c r="X86" i="101"/>
  <c r="Y86" i="101" s="1"/>
  <c r="J107" i="87"/>
  <c r="I38" i="54" s="1"/>
  <c r="Q38" i="54" s="1"/>
  <c r="J107" i="81"/>
  <c r="I32" i="54" s="1"/>
  <c r="Q32" i="54" s="1"/>
  <c r="X87" i="76"/>
  <c r="Y87" i="76" s="1"/>
  <c r="X69" i="76"/>
  <c r="Y69" i="76" s="1"/>
  <c r="X85" i="76"/>
  <c r="Y85" i="76" s="1"/>
  <c r="X86" i="76"/>
  <c r="Y86" i="76" s="1"/>
  <c r="X90" i="76"/>
  <c r="Y93" i="76" s="1"/>
  <c r="S93" i="76"/>
  <c r="J107" i="67"/>
  <c r="I17" i="54" s="1"/>
  <c r="Q17" i="54" s="1"/>
  <c r="I86" i="66"/>
  <c r="J86" i="66" s="1"/>
  <c r="I85" i="66"/>
  <c r="J85" i="66" s="1"/>
  <c r="X69" i="66"/>
  <c r="Y69" i="66" s="1"/>
  <c r="X87" i="66"/>
  <c r="Y87" i="66" s="1"/>
  <c r="X85" i="61"/>
  <c r="Y85" i="61" s="1"/>
  <c r="X86" i="61"/>
  <c r="Y86" i="61" s="1"/>
  <c r="X87" i="61"/>
  <c r="Y87" i="61" s="1"/>
  <c r="X69" i="61"/>
  <c r="Y69" i="61" s="1"/>
  <c r="X90" i="61"/>
  <c r="Y93" i="61" s="1"/>
  <c r="S93" i="61"/>
  <c r="X86" i="58"/>
  <c r="Y86" i="58" s="1"/>
  <c r="X85" i="58"/>
  <c r="Y85" i="58" s="1"/>
  <c r="X90" i="58"/>
  <c r="Y93" i="58" s="1"/>
  <c r="S93" i="58"/>
  <c r="X87" i="58"/>
  <c r="Y87" i="58" s="1"/>
  <c r="X69" i="58"/>
  <c r="Y69" i="58" s="1"/>
  <c r="J107" i="105"/>
  <c r="I56" i="54" s="1"/>
  <c r="Q56" i="54" s="1"/>
  <c r="J107" i="104"/>
  <c r="I55" i="54" s="1"/>
  <c r="J107" i="103"/>
  <c r="I54" i="54" s="1"/>
  <c r="J107" i="102"/>
  <c r="I53" i="54" s="1"/>
  <c r="X90" i="102"/>
  <c r="Y93" i="102" s="1"/>
  <c r="S93" i="102"/>
  <c r="X86" i="102"/>
  <c r="Y86" i="102" s="1"/>
  <c r="X85" i="102"/>
  <c r="Y85" i="102" s="1"/>
  <c r="X87" i="102"/>
  <c r="Y87" i="102" s="1"/>
  <c r="X69" i="102"/>
  <c r="Y69" i="102" s="1"/>
  <c r="J107" i="101"/>
  <c r="I52" i="54" s="1"/>
  <c r="Q52" i="54" s="1"/>
  <c r="J107" i="99"/>
  <c r="J107" i="96"/>
  <c r="I47" i="54" s="1"/>
  <c r="Q47" i="54" s="1"/>
  <c r="J107" i="94"/>
  <c r="I45" i="54" s="1"/>
  <c r="Q45" i="54" s="1"/>
  <c r="J107" i="93"/>
  <c r="I44" i="54" s="1"/>
  <c r="Q44" i="54" s="1"/>
  <c r="J107" i="92"/>
  <c r="I43" i="54" s="1"/>
  <c r="Q43" i="54" s="1"/>
  <c r="J107" i="91"/>
  <c r="I42" i="54" s="1"/>
  <c r="Q42" i="54" s="1"/>
  <c r="J107" i="90"/>
  <c r="I41" i="54" s="1"/>
  <c r="Q41" i="54" s="1"/>
  <c r="J107" i="86"/>
  <c r="I37" i="54" s="1"/>
  <c r="Q37" i="54" s="1"/>
  <c r="J107" i="85"/>
  <c r="I36" i="54" s="1"/>
  <c r="Q36" i="54" s="1"/>
  <c r="J107" i="84"/>
  <c r="J107" i="83"/>
  <c r="J107" i="82"/>
  <c r="I33" i="54" s="1"/>
  <c r="Q33" i="54" s="1"/>
  <c r="J107" i="80"/>
  <c r="J107" i="79"/>
  <c r="I30" i="54" s="1"/>
  <c r="Q30" i="54" s="1"/>
  <c r="J107" i="78"/>
  <c r="I29" i="54" s="1"/>
  <c r="Q29" i="54" s="1"/>
  <c r="S93" i="77"/>
  <c r="X90" i="77"/>
  <c r="Y93" i="77" s="1"/>
  <c r="J107" i="77"/>
  <c r="I28" i="54" s="1"/>
  <c r="Q28" i="54" s="1"/>
  <c r="X86" i="77"/>
  <c r="Y86" i="77" s="1"/>
  <c r="X85" i="77"/>
  <c r="Y85" i="77" s="1"/>
  <c r="X87" i="77"/>
  <c r="Y87" i="77" s="1"/>
  <c r="X69" i="77"/>
  <c r="Y69" i="77" s="1"/>
  <c r="J107" i="76"/>
  <c r="I27" i="54" s="1"/>
  <c r="Q27" i="54" s="1"/>
  <c r="J107" i="75"/>
  <c r="I26" i="54" s="1"/>
  <c r="Q26" i="54" s="1"/>
  <c r="J107" i="74"/>
  <c r="I25" i="54" s="1"/>
  <c r="Q25" i="54" s="1"/>
  <c r="J107" i="73"/>
  <c r="I24" i="54" s="1"/>
  <c r="Q24" i="54" s="1"/>
  <c r="J107" i="71"/>
  <c r="X90" i="69"/>
  <c r="Y93" i="69" s="1"/>
  <c r="S93" i="69"/>
  <c r="X86" i="69"/>
  <c r="Y86" i="69" s="1"/>
  <c r="Y85" i="69"/>
  <c r="X87" i="69"/>
  <c r="Y87" i="69" s="1"/>
  <c r="X69" i="69"/>
  <c r="Y69" i="69" s="1"/>
  <c r="J107" i="68"/>
  <c r="X90" i="68"/>
  <c r="Y93" i="68" s="1"/>
  <c r="S93" i="68"/>
  <c r="X69" i="68"/>
  <c r="Y69" i="68" s="1"/>
  <c r="X87" i="68"/>
  <c r="Y87" i="68" s="1"/>
  <c r="X86" i="68"/>
  <c r="Y86" i="68" s="1"/>
  <c r="X85" i="68"/>
  <c r="Y85" i="68" s="1"/>
  <c r="X86" i="67"/>
  <c r="Y86" i="67" s="1"/>
  <c r="X85" i="67"/>
  <c r="Y85" i="67" s="1"/>
  <c r="X90" i="67"/>
  <c r="Y93" i="67" s="1"/>
  <c r="S93" i="67"/>
  <c r="X87" i="67"/>
  <c r="Y87" i="67" s="1"/>
  <c r="X69" i="67"/>
  <c r="Y69" i="67" s="1"/>
  <c r="J107" i="65"/>
  <c r="I15" i="54" s="1"/>
  <c r="Q15" i="54" s="1"/>
  <c r="J107" i="64"/>
  <c r="X90" i="64"/>
  <c r="Y93" i="64" s="1"/>
  <c r="S93" i="64"/>
  <c r="X87" i="64"/>
  <c r="Y87" i="64" s="1"/>
  <c r="X69" i="64"/>
  <c r="Y69" i="64" s="1"/>
  <c r="X86" i="64"/>
  <c r="Y86" i="64" s="1"/>
  <c r="X85" i="64"/>
  <c r="Y85" i="64" s="1"/>
  <c r="J107" i="63"/>
  <c r="X69" i="63"/>
  <c r="Y69" i="63" s="1"/>
  <c r="X87" i="63"/>
  <c r="Y87" i="63" s="1"/>
  <c r="X86" i="63"/>
  <c r="Y86" i="63" s="1"/>
  <c r="X85" i="63"/>
  <c r="Y85" i="63" s="1"/>
  <c r="S93" i="63"/>
  <c r="X90" i="63"/>
  <c r="Y93" i="63" s="1"/>
  <c r="J107" i="62"/>
  <c r="X90" i="62"/>
  <c r="Y93" i="62" s="1"/>
  <c r="S93" i="62"/>
  <c r="X86" i="62"/>
  <c r="Y86" i="62" s="1"/>
  <c r="X85" i="62"/>
  <c r="Y85" i="62" s="1"/>
  <c r="X87" i="62"/>
  <c r="Y87" i="62" s="1"/>
  <c r="X69" i="62"/>
  <c r="Y69" i="62" s="1"/>
  <c r="X87" i="59"/>
  <c r="Y87" i="59" s="1"/>
  <c r="X69" i="59"/>
  <c r="Y69" i="59" s="1"/>
  <c r="J107" i="58"/>
  <c r="J109" i="88" l="1"/>
  <c r="I114" i="88" s="1"/>
  <c r="J109" i="70"/>
  <c r="J21" i="54" s="1"/>
  <c r="I11" i="54"/>
  <c r="Q11" i="54" s="1"/>
  <c r="J109" i="100"/>
  <c r="I114" i="100" s="1"/>
  <c r="J114" i="100" s="1"/>
  <c r="J109" i="95"/>
  <c r="J46" i="54" s="1"/>
  <c r="J107" i="66"/>
  <c r="I16" i="54" s="1"/>
  <c r="Q16" i="54" s="1"/>
  <c r="Y107" i="60"/>
  <c r="Y109" i="60" s="1"/>
  <c r="J111" i="60" s="1"/>
  <c r="J109" i="59"/>
  <c r="J9" i="54" s="1"/>
  <c r="Y107" i="97"/>
  <c r="Y109" i="97" s="1"/>
  <c r="J111" i="97" s="1"/>
  <c r="Y107" i="61"/>
  <c r="Y109" i="61" s="1"/>
  <c r="J111" i="61" s="1"/>
  <c r="I114" i="61" s="1"/>
  <c r="Y107" i="76"/>
  <c r="Y109" i="76" s="1"/>
  <c r="J111" i="76" s="1"/>
  <c r="Y107" i="59"/>
  <c r="Y109" i="59" s="1"/>
  <c r="J111" i="59" s="1"/>
  <c r="J109" i="89"/>
  <c r="J40" i="54" s="1"/>
  <c r="J109" i="72"/>
  <c r="J23" i="54" s="1"/>
  <c r="J109" i="69"/>
  <c r="J20" i="54" s="1"/>
  <c r="J109" i="98"/>
  <c r="J49" i="54" s="1"/>
  <c r="J109" i="87"/>
  <c r="J38" i="54" s="1"/>
  <c r="J109" i="67"/>
  <c r="J17" i="54" s="1"/>
  <c r="Y107" i="66"/>
  <c r="Y109" i="66" s="1"/>
  <c r="Q54" i="54"/>
  <c r="Q55" i="54"/>
  <c r="J109" i="102"/>
  <c r="J53" i="54" s="1"/>
  <c r="Y107" i="101"/>
  <c r="Y109" i="101" s="1"/>
  <c r="J111" i="101" s="1"/>
  <c r="J109" i="99"/>
  <c r="I50" i="54"/>
  <c r="Q50" i="54" s="1"/>
  <c r="J109" i="83"/>
  <c r="I34" i="54"/>
  <c r="Q34" i="54" s="1"/>
  <c r="J109" i="80"/>
  <c r="I114" i="80" s="1"/>
  <c r="J114" i="80" s="1"/>
  <c r="I31" i="54"/>
  <c r="Q31" i="54" s="1"/>
  <c r="J109" i="68"/>
  <c r="J18" i="54" s="1"/>
  <c r="I18" i="54"/>
  <c r="Q18" i="54" s="1"/>
  <c r="J109" i="64"/>
  <c r="J14" i="54" s="1"/>
  <c r="I14" i="54"/>
  <c r="Q14" i="54" s="1"/>
  <c r="J109" i="63"/>
  <c r="J13" i="54" s="1"/>
  <c r="I13" i="54"/>
  <c r="Q13" i="54" s="1"/>
  <c r="J109" i="62"/>
  <c r="J12" i="54" s="1"/>
  <c r="I12" i="54"/>
  <c r="J11" i="54"/>
  <c r="I10" i="54"/>
  <c r="Q10" i="54" s="1"/>
  <c r="J109" i="60"/>
  <c r="J10" i="54" s="1"/>
  <c r="Y107" i="58"/>
  <c r="Y109" i="58" s="1"/>
  <c r="J109" i="58"/>
  <c r="I8" i="54"/>
  <c r="J109" i="105"/>
  <c r="J109" i="104"/>
  <c r="J109" i="103"/>
  <c r="Y107" i="102"/>
  <c r="Y109" i="102" s="1"/>
  <c r="J111" i="102" s="1"/>
  <c r="J109" i="101"/>
  <c r="J114" i="97"/>
  <c r="J116" i="97" s="1"/>
  <c r="J120" i="97" s="1"/>
  <c r="J109" i="96"/>
  <c r="J109" i="94"/>
  <c r="J109" i="93"/>
  <c r="J109" i="92"/>
  <c r="J109" i="91"/>
  <c r="J109" i="90"/>
  <c r="J109" i="86"/>
  <c r="J109" i="85"/>
  <c r="J109" i="84"/>
  <c r="I114" i="84" s="1"/>
  <c r="J109" i="82"/>
  <c r="J109" i="81"/>
  <c r="J109" i="79"/>
  <c r="J109" i="78"/>
  <c r="Y107" i="77"/>
  <c r="Y109" i="77" s="1"/>
  <c r="J111" i="77" s="1"/>
  <c r="J109" i="77"/>
  <c r="J28" i="54" s="1"/>
  <c r="J109" i="76"/>
  <c r="J109" i="75"/>
  <c r="J109" i="74"/>
  <c r="J109" i="73"/>
  <c r="J109" i="71"/>
  <c r="I114" i="71" s="1"/>
  <c r="Y107" i="69"/>
  <c r="Y109" i="69" s="1"/>
  <c r="J111" i="69" s="1"/>
  <c r="Y107" i="68"/>
  <c r="Y109" i="68" s="1"/>
  <c r="J111" i="68" s="1"/>
  <c r="I114" i="68" s="1"/>
  <c r="J114" i="68" s="1"/>
  <c r="Y107" i="67"/>
  <c r="Y109" i="67" s="1"/>
  <c r="J111" i="67" s="1"/>
  <c r="J109" i="65"/>
  <c r="Y107" i="64"/>
  <c r="Y109" i="64" s="1"/>
  <c r="J111" i="64" s="1"/>
  <c r="Y107" i="63"/>
  <c r="Y109" i="63" s="1"/>
  <c r="J111" i="63" s="1"/>
  <c r="Y107" i="62"/>
  <c r="Y109" i="62" s="1"/>
  <c r="I114" i="95" l="1"/>
  <c r="J114" i="95" s="1"/>
  <c r="J116" i="95" s="1"/>
  <c r="I114" i="70"/>
  <c r="J114" i="70" s="1"/>
  <c r="K21" i="54" s="1"/>
  <c r="J39" i="54"/>
  <c r="J51" i="54"/>
  <c r="I114" i="72"/>
  <c r="J114" i="72" s="1"/>
  <c r="I114" i="59"/>
  <c r="J114" i="59" s="1"/>
  <c r="J116" i="59" s="1"/>
  <c r="J111" i="58"/>
  <c r="I114" i="58" s="1"/>
  <c r="J111" i="66"/>
  <c r="I114" i="66" s="1"/>
  <c r="J109" i="66"/>
  <c r="J16" i="54" s="1"/>
  <c r="I114" i="69"/>
  <c r="J114" i="69" s="1"/>
  <c r="I114" i="89"/>
  <c r="J114" i="89" s="1"/>
  <c r="K40" i="54" s="1"/>
  <c r="G40" i="54" s="1"/>
  <c r="I114" i="87"/>
  <c r="J114" i="87" s="1"/>
  <c r="J126" i="87" s="1"/>
  <c r="I114" i="102"/>
  <c r="J114" i="102" s="1"/>
  <c r="J126" i="102" s="1"/>
  <c r="I114" i="98"/>
  <c r="J114" i="98" s="1"/>
  <c r="J116" i="98" s="1"/>
  <c r="J114" i="88"/>
  <c r="K39" i="54" s="1"/>
  <c r="R39" i="54" s="1"/>
  <c r="J31" i="54"/>
  <c r="I114" i="64"/>
  <c r="J114" i="64" s="1"/>
  <c r="J114" i="61"/>
  <c r="J116" i="61" s="1"/>
  <c r="J120" i="61" s="1"/>
  <c r="J124" i="61" s="1"/>
  <c r="I114" i="60"/>
  <c r="I114" i="103"/>
  <c r="J114" i="103" s="1"/>
  <c r="J54" i="54"/>
  <c r="I114" i="104"/>
  <c r="J114" i="104" s="1"/>
  <c r="J55" i="54"/>
  <c r="I114" i="101"/>
  <c r="J114" i="101" s="1"/>
  <c r="J52" i="54"/>
  <c r="J116" i="100"/>
  <c r="K51" i="54"/>
  <c r="I114" i="99"/>
  <c r="J114" i="99" s="1"/>
  <c r="J126" i="99" s="1"/>
  <c r="J50" i="54"/>
  <c r="I114" i="96"/>
  <c r="J114" i="96" s="1"/>
  <c r="J47" i="54"/>
  <c r="I114" i="94"/>
  <c r="J114" i="94" s="1"/>
  <c r="J45" i="54"/>
  <c r="I114" i="93"/>
  <c r="J44" i="54"/>
  <c r="I114" i="92"/>
  <c r="J114" i="92" s="1"/>
  <c r="J43" i="54"/>
  <c r="I114" i="91"/>
  <c r="J114" i="91" s="1"/>
  <c r="J42" i="54"/>
  <c r="I114" i="90"/>
  <c r="J114" i="90" s="1"/>
  <c r="J41" i="54"/>
  <c r="I114" i="86"/>
  <c r="J114" i="86" s="1"/>
  <c r="J37" i="54"/>
  <c r="I114" i="85"/>
  <c r="J114" i="85" s="1"/>
  <c r="J36" i="54"/>
  <c r="I114" i="83"/>
  <c r="J114" i="83" s="1"/>
  <c r="J126" i="83" s="1"/>
  <c r="J34" i="54"/>
  <c r="I114" i="81"/>
  <c r="J114" i="81" s="1"/>
  <c r="J32" i="54"/>
  <c r="I114" i="79"/>
  <c r="J114" i="79" s="1"/>
  <c r="J30" i="54"/>
  <c r="I114" i="78"/>
  <c r="J114" i="78" s="1"/>
  <c r="J29" i="54"/>
  <c r="I114" i="75"/>
  <c r="J114" i="75" s="1"/>
  <c r="K26" i="54" s="1"/>
  <c r="J26" i="54"/>
  <c r="I114" i="74"/>
  <c r="J25" i="54"/>
  <c r="I114" i="73"/>
  <c r="J114" i="73" s="1"/>
  <c r="J24" i="54"/>
  <c r="I114" i="65"/>
  <c r="J114" i="65" s="1"/>
  <c r="J15" i="54"/>
  <c r="J8" i="54"/>
  <c r="I114" i="105"/>
  <c r="J114" i="105" s="1"/>
  <c r="J56" i="54"/>
  <c r="I114" i="82"/>
  <c r="J33" i="54"/>
  <c r="J116" i="80"/>
  <c r="K31" i="54"/>
  <c r="I114" i="76"/>
  <c r="J114" i="76" s="1"/>
  <c r="J27" i="54"/>
  <c r="J126" i="100"/>
  <c r="J126" i="97"/>
  <c r="J114" i="84"/>
  <c r="J116" i="84" s="1"/>
  <c r="J120" i="84" s="1"/>
  <c r="J124" i="84" s="1"/>
  <c r="E280" i="106" s="1"/>
  <c r="G280" i="106" s="1"/>
  <c r="J126" i="80"/>
  <c r="I114" i="77"/>
  <c r="J114" i="77" s="1"/>
  <c r="J114" i="71"/>
  <c r="J116" i="71" s="1"/>
  <c r="J120" i="71" s="1"/>
  <c r="J124" i="71" s="1"/>
  <c r="E160" i="106" s="1"/>
  <c r="G160" i="106" s="1"/>
  <c r="I114" i="67"/>
  <c r="J114" i="67" s="1"/>
  <c r="I114" i="63"/>
  <c r="J111" i="62"/>
  <c r="I114" i="62" s="1"/>
  <c r="J114" i="62" s="1"/>
  <c r="K46" i="54" l="1"/>
  <c r="G46" i="54" s="1"/>
  <c r="J114" i="58"/>
  <c r="J116" i="58" s="1"/>
  <c r="J126" i="95"/>
  <c r="J126" i="70"/>
  <c r="J116" i="70"/>
  <c r="L21" i="54" s="1"/>
  <c r="S21" i="54" s="1"/>
  <c r="W21" i="54" s="1"/>
  <c r="J116" i="89"/>
  <c r="J120" i="89" s="1"/>
  <c r="J124" i="89" s="1"/>
  <c r="K9" i="54"/>
  <c r="R9" i="54" s="1"/>
  <c r="J126" i="89"/>
  <c r="R40" i="54"/>
  <c r="J114" i="66"/>
  <c r="J126" i="66" s="1"/>
  <c r="F40" i="54"/>
  <c r="K38" i="54"/>
  <c r="F38" i="54" s="1"/>
  <c r="J116" i="87"/>
  <c r="L38" i="54" s="1"/>
  <c r="S38" i="54" s="1"/>
  <c r="W38" i="54" s="1"/>
  <c r="J114" i="60"/>
  <c r="J116" i="60" s="1"/>
  <c r="J120" i="60" s="1"/>
  <c r="J124" i="60" s="1"/>
  <c r="E53" i="106" s="1"/>
  <c r="J126" i="98"/>
  <c r="K49" i="54"/>
  <c r="F39" i="54"/>
  <c r="J120" i="59"/>
  <c r="J124" i="59" s="1"/>
  <c r="J126" i="61"/>
  <c r="J114" i="93"/>
  <c r="J126" i="93" s="1"/>
  <c r="G39" i="54"/>
  <c r="J116" i="88"/>
  <c r="J126" i="88"/>
  <c r="J114" i="82"/>
  <c r="J126" i="82" s="1"/>
  <c r="J126" i="81"/>
  <c r="J116" i="75"/>
  <c r="L26" i="54" s="1"/>
  <c r="S26" i="54" s="1"/>
  <c r="W26" i="54" s="1"/>
  <c r="J114" i="74"/>
  <c r="J126" i="74" s="1"/>
  <c r="K11" i="54"/>
  <c r="J126" i="59"/>
  <c r="L11" i="54"/>
  <c r="M11" i="54"/>
  <c r="Z11" i="54" s="1"/>
  <c r="E69" i="106"/>
  <c r="G69" i="106" s="1"/>
  <c r="J116" i="103"/>
  <c r="K54" i="54"/>
  <c r="J116" i="104"/>
  <c r="K55" i="54"/>
  <c r="J116" i="102"/>
  <c r="K53" i="54"/>
  <c r="J116" i="101"/>
  <c r="K52" i="54"/>
  <c r="R51" i="54"/>
  <c r="G51" i="54"/>
  <c r="F51" i="54"/>
  <c r="J120" i="100"/>
  <c r="J124" i="100" s="1"/>
  <c r="L51" i="54"/>
  <c r="S51" i="54" s="1"/>
  <c r="W51" i="54" s="1"/>
  <c r="J116" i="99"/>
  <c r="K50" i="54"/>
  <c r="J120" i="98"/>
  <c r="J124" i="98" s="1"/>
  <c r="L49" i="54"/>
  <c r="J116" i="96"/>
  <c r="K47" i="54"/>
  <c r="F46" i="54"/>
  <c r="J120" i="95"/>
  <c r="J124" i="95" s="1"/>
  <c r="L46" i="54"/>
  <c r="S46" i="54" s="1"/>
  <c r="W46" i="54" s="1"/>
  <c r="J116" i="94"/>
  <c r="K45" i="54"/>
  <c r="J116" i="92"/>
  <c r="K43" i="54"/>
  <c r="J116" i="91"/>
  <c r="K42" i="54"/>
  <c r="J116" i="90"/>
  <c r="K41" i="54"/>
  <c r="J116" i="86"/>
  <c r="K37" i="54"/>
  <c r="J116" i="85"/>
  <c r="K36" i="54"/>
  <c r="J116" i="83"/>
  <c r="K34" i="54"/>
  <c r="J116" i="79"/>
  <c r="K30" i="54"/>
  <c r="J116" i="78"/>
  <c r="K29" i="54"/>
  <c r="J116" i="77"/>
  <c r="K28" i="54"/>
  <c r="R26" i="54"/>
  <c r="G26" i="54"/>
  <c r="F26" i="54"/>
  <c r="J116" i="73"/>
  <c r="K24" i="54"/>
  <c r="J116" i="72"/>
  <c r="K23" i="54"/>
  <c r="F21" i="54"/>
  <c r="R21" i="54"/>
  <c r="G21" i="54"/>
  <c r="J116" i="69"/>
  <c r="K20" i="54"/>
  <c r="J116" i="68"/>
  <c r="K18" i="54"/>
  <c r="J116" i="67"/>
  <c r="K17" i="54"/>
  <c r="J116" i="65"/>
  <c r="K15" i="54"/>
  <c r="J116" i="64"/>
  <c r="K14" i="54"/>
  <c r="J116" i="62"/>
  <c r="K12" i="54"/>
  <c r="J116" i="105"/>
  <c r="K56" i="54"/>
  <c r="R31" i="54"/>
  <c r="F31" i="54"/>
  <c r="G31" i="54"/>
  <c r="J120" i="80"/>
  <c r="J124" i="80" s="1"/>
  <c r="L31" i="54"/>
  <c r="S31" i="54" s="1"/>
  <c r="U31" i="54" s="1"/>
  <c r="W31" i="54" s="1"/>
  <c r="J116" i="76"/>
  <c r="K27" i="54"/>
  <c r="J126" i="105"/>
  <c r="J126" i="104"/>
  <c r="J126" i="103"/>
  <c r="J126" i="101"/>
  <c r="J126" i="96"/>
  <c r="J126" i="94"/>
  <c r="J126" i="92"/>
  <c r="J126" i="91"/>
  <c r="J126" i="90"/>
  <c r="J126" i="86"/>
  <c r="J126" i="85"/>
  <c r="J126" i="84"/>
  <c r="J126" i="79"/>
  <c r="J126" i="78"/>
  <c r="J126" i="77"/>
  <c r="J126" i="76"/>
  <c r="J126" i="75"/>
  <c r="J126" i="73"/>
  <c r="J126" i="72"/>
  <c r="J126" i="71"/>
  <c r="J126" i="69"/>
  <c r="J126" i="68"/>
  <c r="J126" i="67"/>
  <c r="J126" i="65"/>
  <c r="J126" i="64"/>
  <c r="J114" i="63"/>
  <c r="J126" i="63" s="1"/>
  <c r="J126" i="62"/>
  <c r="R46" i="54" l="1"/>
  <c r="J126" i="58"/>
  <c r="K8" i="54"/>
  <c r="J120" i="70"/>
  <c r="J124" i="70" s="1"/>
  <c r="E151" i="106" s="1"/>
  <c r="G151" i="106" s="1"/>
  <c r="L40" i="54"/>
  <c r="S40" i="54" s="1"/>
  <c r="U40" i="54" s="1"/>
  <c r="W40" i="54" s="1"/>
  <c r="F9" i="54"/>
  <c r="G9" i="54"/>
  <c r="J120" i="87"/>
  <c r="J124" i="87" s="1"/>
  <c r="M38" i="54" s="1"/>
  <c r="Z38" i="54" s="1"/>
  <c r="R38" i="54"/>
  <c r="G38" i="54"/>
  <c r="K10" i="54"/>
  <c r="F10" i="54" s="1"/>
  <c r="L10" i="54"/>
  <c r="S10" i="54" s="1"/>
  <c r="U10" i="54" s="1"/>
  <c r="W10" i="54" s="1"/>
  <c r="J126" i="60"/>
  <c r="K16" i="54"/>
  <c r="J116" i="66"/>
  <c r="L9" i="54"/>
  <c r="S9" i="54" s="1"/>
  <c r="U9" i="54" s="1"/>
  <c r="W9" i="54" s="1"/>
  <c r="J120" i="75"/>
  <c r="J124" i="75" s="1"/>
  <c r="M26" i="54" s="1"/>
  <c r="Z26" i="54" s="1"/>
  <c r="K25" i="54"/>
  <c r="G25" i="54" s="1"/>
  <c r="J116" i="74"/>
  <c r="J120" i="74" s="1"/>
  <c r="J124" i="74" s="1"/>
  <c r="K44" i="54"/>
  <c r="F44" i="54" s="1"/>
  <c r="J116" i="93"/>
  <c r="J120" i="93" s="1"/>
  <c r="J124" i="93" s="1"/>
  <c r="J120" i="88"/>
  <c r="J124" i="88" s="1"/>
  <c r="L39" i="54"/>
  <c r="S39" i="54" s="1"/>
  <c r="U39" i="54" s="1"/>
  <c r="W39" i="54" s="1"/>
  <c r="K33" i="54"/>
  <c r="F33" i="54" s="1"/>
  <c r="J116" i="82"/>
  <c r="L33" i="54" s="1"/>
  <c r="S33" i="54" s="1"/>
  <c r="W33" i="54" s="1"/>
  <c r="K32" i="54"/>
  <c r="F32" i="54" s="1"/>
  <c r="J116" i="81"/>
  <c r="L32" i="54" s="1"/>
  <c r="M10" i="54"/>
  <c r="Z10" i="54" s="1"/>
  <c r="G53" i="106"/>
  <c r="M49" i="54"/>
  <c r="Z49" i="54" s="1"/>
  <c r="E404" i="106"/>
  <c r="G404" i="106" s="1"/>
  <c r="M51" i="54"/>
  <c r="Z51" i="54" s="1"/>
  <c r="E423" i="106"/>
  <c r="G423" i="106" s="1"/>
  <c r="M46" i="54"/>
  <c r="Z46" i="54" s="1"/>
  <c r="E379" i="106"/>
  <c r="G379" i="106" s="1"/>
  <c r="M40" i="54"/>
  <c r="Z40" i="54" s="1"/>
  <c r="E323" i="106"/>
  <c r="G323" i="106" s="1"/>
  <c r="M31" i="54"/>
  <c r="Z31" i="54" s="1"/>
  <c r="E241" i="106"/>
  <c r="G241" i="106" s="1"/>
  <c r="M21" i="54"/>
  <c r="Z21" i="54" s="1"/>
  <c r="M9" i="54"/>
  <c r="Z9" i="54" s="1"/>
  <c r="E14" i="106"/>
  <c r="G54" i="54"/>
  <c r="R54" i="54"/>
  <c r="F54" i="54"/>
  <c r="J120" i="103"/>
  <c r="J124" i="103" s="1"/>
  <c r="L54" i="54"/>
  <c r="S54" i="54" s="1"/>
  <c r="W54" i="54" s="1"/>
  <c r="G55" i="54"/>
  <c r="R55" i="54"/>
  <c r="F55" i="54"/>
  <c r="J120" i="104"/>
  <c r="J124" i="104" s="1"/>
  <c r="L55" i="54"/>
  <c r="S55" i="54" s="1"/>
  <c r="W55" i="54" s="1"/>
  <c r="G53" i="54"/>
  <c r="F53" i="54"/>
  <c r="J120" i="102"/>
  <c r="J124" i="102" s="1"/>
  <c r="L53" i="54"/>
  <c r="G52" i="54"/>
  <c r="R52" i="54"/>
  <c r="F52" i="54"/>
  <c r="J120" i="101"/>
  <c r="J124" i="101" s="1"/>
  <c r="L52" i="54"/>
  <c r="S52" i="54" s="1"/>
  <c r="V52" i="54" s="1"/>
  <c r="W52" i="54" s="1"/>
  <c r="R50" i="54"/>
  <c r="F50" i="54"/>
  <c r="G50" i="54"/>
  <c r="J120" i="99"/>
  <c r="J124" i="99" s="1"/>
  <c r="L50" i="54"/>
  <c r="S50" i="54" s="1"/>
  <c r="W50" i="54" s="1"/>
  <c r="F47" i="54"/>
  <c r="R47" i="54"/>
  <c r="G47" i="54"/>
  <c r="J120" i="96"/>
  <c r="J124" i="96" s="1"/>
  <c r="L47" i="54"/>
  <c r="S47" i="54" s="1"/>
  <c r="W47" i="54" s="1"/>
  <c r="R45" i="54"/>
  <c r="G45" i="54"/>
  <c r="F45" i="54"/>
  <c r="J120" i="94"/>
  <c r="J124" i="94" s="1"/>
  <c r="L45" i="54"/>
  <c r="S45" i="54" s="1"/>
  <c r="W45" i="54" s="1"/>
  <c r="F43" i="54"/>
  <c r="G43" i="54"/>
  <c r="R43" i="54"/>
  <c r="J120" i="92"/>
  <c r="J124" i="92" s="1"/>
  <c r="L43" i="54"/>
  <c r="S43" i="54" s="1"/>
  <c r="W43" i="54" s="1"/>
  <c r="R42" i="54"/>
  <c r="F42" i="54"/>
  <c r="G42" i="54"/>
  <c r="J120" i="91"/>
  <c r="J124" i="91" s="1"/>
  <c r="L42" i="54"/>
  <c r="S42" i="54" s="1"/>
  <c r="W42" i="54" s="1"/>
  <c r="F41" i="54"/>
  <c r="G41" i="54"/>
  <c r="R41" i="54"/>
  <c r="J120" i="90"/>
  <c r="J124" i="90" s="1"/>
  <c r="L41" i="54"/>
  <c r="S41" i="54" s="1"/>
  <c r="W41" i="54" s="1"/>
  <c r="F37" i="54"/>
  <c r="R37" i="54"/>
  <c r="G37" i="54"/>
  <c r="J120" i="86"/>
  <c r="J124" i="86" s="1"/>
  <c r="L37" i="54"/>
  <c r="S37" i="54" s="1"/>
  <c r="W37" i="54" s="1"/>
  <c r="G36" i="54"/>
  <c r="F36" i="54"/>
  <c r="R36" i="54"/>
  <c r="J120" i="85"/>
  <c r="L36" i="54"/>
  <c r="S36" i="54" s="1"/>
  <c r="W36" i="54" s="1"/>
  <c r="G34" i="54"/>
  <c r="R34" i="54"/>
  <c r="F34" i="54"/>
  <c r="J120" i="83"/>
  <c r="J124" i="83" s="1"/>
  <c r="L34" i="54"/>
  <c r="S34" i="54" s="1"/>
  <c r="U34" i="54" s="1"/>
  <c r="W34" i="54" s="1"/>
  <c r="R30" i="54"/>
  <c r="G30" i="54"/>
  <c r="F30" i="54"/>
  <c r="J120" i="79"/>
  <c r="J124" i="79" s="1"/>
  <c r="L30" i="54"/>
  <c r="S30" i="54" s="1"/>
  <c r="W30" i="54" s="1"/>
  <c r="G29" i="54"/>
  <c r="R29" i="54"/>
  <c r="F29" i="54"/>
  <c r="J120" i="78"/>
  <c r="J124" i="78" s="1"/>
  <c r="L29" i="54"/>
  <c r="S29" i="54" s="1"/>
  <c r="U29" i="54" s="1"/>
  <c r="W29" i="54" s="1"/>
  <c r="R28" i="54"/>
  <c r="G28" i="54"/>
  <c r="F28" i="54"/>
  <c r="J120" i="77"/>
  <c r="J124" i="77" s="1"/>
  <c r="L28" i="54"/>
  <c r="S28" i="54" s="1"/>
  <c r="W28" i="54" s="1"/>
  <c r="G24" i="54"/>
  <c r="R24" i="54"/>
  <c r="F24" i="54"/>
  <c r="J120" i="73"/>
  <c r="J124" i="73" s="1"/>
  <c r="L24" i="54"/>
  <c r="S24" i="54" s="1"/>
  <c r="W24" i="54" s="1"/>
  <c r="R23" i="54"/>
  <c r="G23" i="54"/>
  <c r="F23" i="54"/>
  <c r="J120" i="72"/>
  <c r="J124" i="72" s="1"/>
  <c r="L23" i="54"/>
  <c r="S23" i="54" s="1"/>
  <c r="W23" i="54" s="1"/>
  <c r="F20" i="54"/>
  <c r="G20" i="54"/>
  <c r="R20" i="54"/>
  <c r="J120" i="69"/>
  <c r="J124" i="69" s="1"/>
  <c r="L20" i="54"/>
  <c r="S20" i="54" s="1"/>
  <c r="U20" i="54" s="1"/>
  <c r="W20" i="54" s="1"/>
  <c r="F18" i="54"/>
  <c r="R18" i="54"/>
  <c r="G18" i="54"/>
  <c r="J120" i="68"/>
  <c r="J124" i="68" s="1"/>
  <c r="L18" i="54"/>
  <c r="S18" i="54" s="1"/>
  <c r="V18" i="54" s="1"/>
  <c r="W18" i="54" s="1"/>
  <c r="G17" i="54"/>
  <c r="F17" i="54"/>
  <c r="R17" i="54"/>
  <c r="J120" i="67"/>
  <c r="J124" i="67" s="1"/>
  <c r="L17" i="54"/>
  <c r="S17" i="54" s="1"/>
  <c r="V17" i="54" s="1"/>
  <c r="W17" i="54" s="1"/>
  <c r="R15" i="54"/>
  <c r="F15" i="54"/>
  <c r="G15" i="54"/>
  <c r="J120" i="65"/>
  <c r="J124" i="65" s="1"/>
  <c r="L15" i="54"/>
  <c r="S15" i="54" s="1"/>
  <c r="U15" i="54" s="1"/>
  <c r="W15" i="54" s="1"/>
  <c r="F14" i="54"/>
  <c r="R14" i="54"/>
  <c r="G14" i="54"/>
  <c r="J120" i="64"/>
  <c r="J124" i="64" s="1"/>
  <c r="L14" i="54"/>
  <c r="S14" i="54" s="1"/>
  <c r="W14" i="54" s="1"/>
  <c r="J116" i="63"/>
  <c r="K13" i="54"/>
  <c r="J120" i="62"/>
  <c r="J124" i="62" s="1"/>
  <c r="L12" i="54"/>
  <c r="L8" i="54"/>
  <c r="J120" i="58"/>
  <c r="J124" i="58" s="1"/>
  <c r="R56" i="54"/>
  <c r="G56" i="54"/>
  <c r="F56" i="54"/>
  <c r="J120" i="105"/>
  <c r="J124" i="105" s="1"/>
  <c r="M56" i="54" s="1"/>
  <c r="Z56" i="54" s="1"/>
  <c r="L56" i="54"/>
  <c r="S56" i="54" s="1"/>
  <c r="W56" i="54" s="1"/>
  <c r="F27" i="54"/>
  <c r="G27" i="54"/>
  <c r="R27" i="54"/>
  <c r="J120" i="76"/>
  <c r="J124" i="76" s="1"/>
  <c r="L27" i="54"/>
  <c r="S27" i="54" s="1"/>
  <c r="V27" i="54" s="1"/>
  <c r="W27" i="54" s="1"/>
  <c r="R10" i="54" l="1"/>
  <c r="E305" i="106"/>
  <c r="G305" i="106" s="1"/>
  <c r="R25" i="54"/>
  <c r="F25" i="54"/>
  <c r="G10" i="54"/>
  <c r="L44" i="54"/>
  <c r="S44" i="54" s="1"/>
  <c r="U44" i="54" s="1"/>
  <c r="W44" i="54" s="1"/>
  <c r="L16" i="54"/>
  <c r="S16" i="54" s="1"/>
  <c r="V16" i="54" s="1"/>
  <c r="W16" i="54" s="1"/>
  <c r="J120" i="66"/>
  <c r="J124" i="66" s="1"/>
  <c r="G44" i="54"/>
  <c r="F16" i="54"/>
  <c r="G16" i="54"/>
  <c r="R16" i="54"/>
  <c r="E196" i="106"/>
  <c r="G196" i="106" s="1"/>
  <c r="R44" i="54"/>
  <c r="J120" i="82"/>
  <c r="J124" i="82" s="1"/>
  <c r="M33" i="54" s="1"/>
  <c r="Z33" i="54" s="1"/>
  <c r="L25" i="54"/>
  <c r="S25" i="54" s="1"/>
  <c r="U25" i="54" s="1"/>
  <c r="W25" i="54" s="1"/>
  <c r="R32" i="54"/>
  <c r="S32" i="54"/>
  <c r="J120" i="81"/>
  <c r="J124" i="81" s="1"/>
  <c r="G32" i="54"/>
  <c r="E315" i="106"/>
  <c r="G315" i="106" s="1"/>
  <c r="M39" i="54"/>
  <c r="Z39" i="54" s="1"/>
  <c r="G33" i="54"/>
  <c r="R33" i="54"/>
  <c r="M17" i="54"/>
  <c r="Z17" i="54" s="1"/>
  <c r="E126" i="106"/>
  <c r="G126" i="106" s="1"/>
  <c r="M12" i="54"/>
  <c r="Z12" i="54" s="1"/>
  <c r="E76" i="106"/>
  <c r="G76" i="106" s="1"/>
  <c r="M14" i="54"/>
  <c r="Z14" i="54" s="1"/>
  <c r="E96" i="106"/>
  <c r="G96" i="106" s="1"/>
  <c r="M24" i="54"/>
  <c r="Z24" i="54" s="1"/>
  <c r="E179" i="106"/>
  <c r="G179" i="106" s="1"/>
  <c r="M15" i="54"/>
  <c r="Z15" i="54" s="1"/>
  <c r="E106" i="106"/>
  <c r="G106" i="106" s="1"/>
  <c r="M53" i="54"/>
  <c r="Z53" i="54" s="1"/>
  <c r="E442" i="106"/>
  <c r="G442" i="106" s="1"/>
  <c r="E469" i="106"/>
  <c r="G469" i="106" s="1"/>
  <c r="M55" i="54"/>
  <c r="Z55" i="54" s="1"/>
  <c r="E460" i="106"/>
  <c r="G460" i="106" s="1"/>
  <c r="M54" i="54"/>
  <c r="Z54" i="54" s="1"/>
  <c r="E450" i="106"/>
  <c r="G450" i="106" s="1"/>
  <c r="M52" i="54"/>
  <c r="Z52" i="54" s="1"/>
  <c r="E433" i="106"/>
  <c r="G433" i="106" s="1"/>
  <c r="G479" i="106" s="1"/>
  <c r="M50" i="54"/>
  <c r="Z50" i="54" s="1"/>
  <c r="E413" i="106"/>
  <c r="G413" i="106" s="1"/>
  <c r="M47" i="54"/>
  <c r="Z47" i="54" s="1"/>
  <c r="E388" i="106"/>
  <c r="G388" i="106" s="1"/>
  <c r="M45" i="54"/>
  <c r="Z45" i="54" s="1"/>
  <c r="E372" i="106"/>
  <c r="G372" i="106" s="1"/>
  <c r="M43" i="54"/>
  <c r="Z43" i="54" s="1"/>
  <c r="E351" i="106"/>
  <c r="G351" i="106" s="1"/>
  <c r="M44" i="54"/>
  <c r="Z44" i="54" s="1"/>
  <c r="E361" i="106"/>
  <c r="G361" i="106" s="1"/>
  <c r="M42" i="54"/>
  <c r="Z42" i="54" s="1"/>
  <c r="E341" i="106"/>
  <c r="G341" i="106" s="1"/>
  <c r="M41" i="54"/>
  <c r="Z41" i="54" s="1"/>
  <c r="E332" i="106"/>
  <c r="G332" i="106" s="1"/>
  <c r="M37" i="54"/>
  <c r="Z37" i="54" s="1"/>
  <c r="E296" i="106"/>
  <c r="G296" i="106" s="1"/>
  <c r="M34" i="54"/>
  <c r="Z34" i="54" s="1"/>
  <c r="E270" i="106"/>
  <c r="G270" i="106" s="1"/>
  <c r="M29" i="54"/>
  <c r="Z29" i="54" s="1"/>
  <c r="E222" i="106"/>
  <c r="G222" i="106" s="1"/>
  <c r="M30" i="54"/>
  <c r="Z30" i="54" s="1"/>
  <c r="E230" i="106"/>
  <c r="G230" i="106" s="1"/>
  <c r="M28" i="54"/>
  <c r="Z28" i="54" s="1"/>
  <c r="E211" i="106"/>
  <c r="G211" i="106" s="1"/>
  <c r="M27" i="54"/>
  <c r="Z27" i="54" s="1"/>
  <c r="E203" i="106"/>
  <c r="G203" i="106" s="1"/>
  <c r="M25" i="54"/>
  <c r="Z25" i="54" s="1"/>
  <c r="E188" i="106"/>
  <c r="G188" i="106" s="1"/>
  <c r="M23" i="54"/>
  <c r="Z23" i="54" s="1"/>
  <c r="E169" i="106"/>
  <c r="G169" i="106" s="1"/>
  <c r="M18" i="54"/>
  <c r="Z18" i="54" s="1"/>
  <c r="E134" i="106"/>
  <c r="G134" i="106" s="1"/>
  <c r="M20" i="54"/>
  <c r="Z20" i="54" s="1"/>
  <c r="E142" i="106"/>
  <c r="G142" i="106" s="1"/>
  <c r="M8" i="54"/>
  <c r="Z8" i="54" s="1"/>
  <c r="E10" i="106"/>
  <c r="G10" i="106" s="1"/>
  <c r="J124" i="85"/>
  <c r="F13" i="54"/>
  <c r="R13" i="54"/>
  <c r="G13" i="54"/>
  <c r="J120" i="63"/>
  <c r="J124" i="63" s="1"/>
  <c r="L13" i="54"/>
  <c r="S13" i="54" s="1"/>
  <c r="V13" i="54" s="1"/>
  <c r="W13" i="54" s="1"/>
  <c r="E128" i="56"/>
  <c r="M16" i="54" l="1"/>
  <c r="Z16" i="54" s="1"/>
  <c r="E117" i="106"/>
  <c r="G117" i="106" s="1"/>
  <c r="E260" i="106"/>
  <c r="G260" i="106" s="1"/>
  <c r="M32" i="54"/>
  <c r="Z32" i="54" s="1"/>
  <c r="E251" i="106"/>
  <c r="G251" i="106" s="1"/>
  <c r="U32" i="54"/>
  <c r="U58" i="54" s="1"/>
  <c r="M13" i="54"/>
  <c r="Z13" i="54" s="1"/>
  <c r="E88" i="106"/>
  <c r="G88" i="106" s="1"/>
  <c r="M36" i="54"/>
  <c r="Z36" i="54" s="1"/>
  <c r="E288" i="106"/>
  <c r="G288" i="106" s="1"/>
  <c r="I112" i="56"/>
  <c r="W32" i="54" l="1"/>
  <c r="I110" i="56"/>
  <c r="Q8" i="54" l="1"/>
  <c r="F8" i="54" l="1"/>
  <c r="R8" i="54"/>
  <c r="G8" i="54"/>
  <c r="S8" i="54" l="1"/>
  <c r="V8" i="54" l="1"/>
  <c r="W8" i="54" s="1"/>
  <c r="E39" i="56"/>
  <c r="I39" i="56" l="1"/>
  <c r="I43" i="56" l="1"/>
  <c r="E43" i="56"/>
  <c r="I41" i="56"/>
  <c r="E41" i="56"/>
  <c r="I42" i="56"/>
  <c r="E42" i="56"/>
  <c r="I40" i="56"/>
  <c r="E40" i="56"/>
  <c r="I44" i="56"/>
  <c r="E44" i="56"/>
  <c r="I45" i="56" l="1"/>
  <c r="I47" i="56" s="1"/>
  <c r="E45" i="56"/>
  <c r="Q49" i="54" l="1"/>
  <c r="Q12" i="54" l="1"/>
  <c r="R49" i="54" l="1"/>
  <c r="F49" i="54"/>
  <c r="G49" i="54"/>
  <c r="S49" i="54"/>
  <c r="W49" i="54" s="1"/>
  <c r="G12" i="54" l="1"/>
  <c r="F12" i="54"/>
  <c r="R12" i="54"/>
  <c r="S12" i="54"/>
  <c r="V12" i="54" s="1"/>
  <c r="W12" i="54" s="1"/>
  <c r="F11" i="54"/>
  <c r="G11" i="54"/>
  <c r="R11" i="54"/>
  <c r="S11" i="54" l="1"/>
  <c r="V11" i="54" s="1"/>
  <c r="W11" i="54" l="1"/>
  <c r="V58" i="54"/>
  <c r="E127" i="56" l="1"/>
  <c r="T6" i="2" l="1"/>
  <c r="G90" i="2"/>
  <c r="G68" i="2"/>
  <c r="R2" i="2"/>
  <c r="X103" i="2"/>
  <c r="X102" i="2"/>
  <c r="T91" i="2"/>
  <c r="T90" i="2"/>
  <c r="Y80" i="2"/>
  <c r="T31" i="2"/>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4" i="2"/>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2" i="2" l="1"/>
  <c r="S91" i="2"/>
  <c r="S90" i="2"/>
  <c r="X90" i="2" s="1"/>
  <c r="E30" i="56"/>
  <c r="E32" i="56" s="1"/>
  <c r="T28" i="2"/>
  <c r="T64" i="2" s="1"/>
  <c r="X28" i="2"/>
  <c r="T52" i="2"/>
  <c r="T61" i="2"/>
  <c r="I103" i="2"/>
  <c r="I102" i="2"/>
  <c r="I104" i="2" s="1"/>
  <c r="J104" i="2" s="1"/>
  <c r="G102" i="2"/>
  <c r="G103" i="2" s="1"/>
  <c r="I98" i="2"/>
  <c r="G128" i="56" s="1"/>
  <c r="I97" i="2"/>
  <c r="G127" i="56" s="1"/>
  <c r="G92" i="2"/>
  <c r="G91" i="2"/>
  <c r="G85" i="2"/>
  <c r="G84" i="2"/>
  <c r="F106" i="56" s="1"/>
  <c r="J81" i="2"/>
  <c r="I84" i="2" s="1"/>
  <c r="G72" i="2"/>
  <c r="G71" i="2"/>
  <c r="G70" i="2"/>
  <c r="I65" i="2"/>
  <c r="I62" i="2"/>
  <c r="I59" i="2"/>
  <c r="I56" i="2"/>
  <c r="I53" i="2"/>
  <c r="E50" i="2"/>
  <c r="I49" i="2"/>
  <c r="H67" i="56" s="1"/>
  <c r="I48" i="2"/>
  <c r="H66" i="56" s="1"/>
  <c r="I47" i="2"/>
  <c r="H65" i="56" s="1"/>
  <c r="I46" i="2"/>
  <c r="H64" i="56" s="1"/>
  <c r="I45" i="2"/>
  <c r="H63" i="56" s="1"/>
  <c r="I44" i="2"/>
  <c r="H62" i="56" s="1"/>
  <c r="I43" i="2"/>
  <c r="H61" i="56" s="1"/>
  <c r="I42" i="2"/>
  <c r="H60" i="56" s="1"/>
  <c r="I41" i="2"/>
  <c r="H59" i="56" s="1"/>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T58" i="2" l="1"/>
  <c r="J26" i="2"/>
  <c r="I28" i="56" s="1"/>
  <c r="H28" i="56"/>
  <c r="V85" i="2"/>
  <c r="F108" i="56"/>
  <c r="V92" i="2"/>
  <c r="X92" i="2" s="1"/>
  <c r="F120" i="56"/>
  <c r="X52" i="2"/>
  <c r="X53" i="2" s="1"/>
  <c r="X69" i="2" s="1"/>
  <c r="H71" i="56"/>
  <c r="X58" i="2"/>
  <c r="X59" i="2" s="1"/>
  <c r="X71" i="2" s="1"/>
  <c r="H77" i="56"/>
  <c r="V91" i="2"/>
  <c r="X91" i="2" s="1"/>
  <c r="F119" i="56"/>
  <c r="X61" i="2"/>
  <c r="X62" i="2" s="1"/>
  <c r="X67" i="2" s="1"/>
  <c r="Y67" i="2" s="1"/>
  <c r="H80" i="56"/>
  <c r="V71" i="2"/>
  <c r="F93" i="56"/>
  <c r="J27" i="2"/>
  <c r="I29" i="56" s="1"/>
  <c r="H29" i="56"/>
  <c r="X64" i="2"/>
  <c r="X65" i="2" s="1"/>
  <c r="X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S93" i="2"/>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H30" i="56" s="1"/>
  <c r="E47" i="56" s="1"/>
  <c r="C65" i="2"/>
  <c r="J103" i="2"/>
  <c r="J31" i="2"/>
  <c r="B90" i="2"/>
  <c r="C118" i="56" s="1"/>
  <c r="J102" i="2"/>
  <c r="D90" i="2"/>
  <c r="C59" i="2"/>
  <c r="D91" i="2"/>
  <c r="Y69" i="2" l="1"/>
  <c r="Y93" i="2"/>
  <c r="Y70" i="2"/>
  <c r="Y71" i="2"/>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J105" i="2"/>
  <c r="B93" i="2"/>
  <c r="C121" i="56" s="1"/>
  <c r="I70" i="2" l="1"/>
  <c r="J70" i="2" s="1"/>
  <c r="L93" i="56"/>
  <c r="H89" i="56"/>
  <c r="H112" i="56"/>
  <c r="I57" i="2"/>
  <c r="I86" i="2" s="1"/>
  <c r="J86" i="2" s="1"/>
  <c r="C74" i="56"/>
  <c r="H75" i="56" s="1"/>
  <c r="L86" i="56"/>
  <c r="L91" i="56"/>
  <c r="J33" i="2"/>
  <c r="J93" i="2"/>
  <c r="I121" i="56" s="1"/>
  <c r="Y33" i="2"/>
  <c r="T55" i="2" s="1"/>
  <c r="X56" i="2" s="1"/>
  <c r="V37" i="2"/>
  <c r="Y37" i="2" s="1"/>
  <c r="V36" i="2"/>
  <c r="Y36" i="2" s="1"/>
  <c r="X85" i="2" l="1"/>
  <c r="Y85" i="2" s="1"/>
  <c r="X86" i="2"/>
  <c r="Y86" i="2" s="1"/>
  <c r="I85" i="2"/>
  <c r="J85" i="2" s="1"/>
  <c r="I108" i="56" s="1"/>
  <c r="Y38" i="2"/>
  <c r="H108" i="56"/>
  <c r="K108" i="56" s="1"/>
  <c r="H110" i="56"/>
  <c r="Y107" i="2" l="1"/>
  <c r="Y109" i="2" s="1"/>
  <c r="J111" i="2" s="1"/>
  <c r="I147" i="56" s="1"/>
  <c r="J107" i="2"/>
  <c r="I142" i="56" s="1"/>
  <c r="I60" i="54" s="1"/>
  <c r="L108" i="56"/>
  <c r="J109" i="2" l="1"/>
  <c r="I144" i="56" s="1"/>
  <c r="J60" i="54" s="1"/>
  <c r="I6" i="54"/>
  <c r="Q6" i="54" s="1"/>
  <c r="Q58" i="54" s="1"/>
  <c r="I114" i="2" l="1"/>
  <c r="I149" i="56" s="1"/>
  <c r="J6" i="54"/>
  <c r="J58" i="54" s="1"/>
  <c r="I58" i="54"/>
  <c r="I62" i="54" s="1"/>
  <c r="H149" i="56"/>
  <c r="J62" i="54"/>
  <c r="J114" i="2" l="1"/>
  <c r="J126" i="2" s="1"/>
  <c r="J116" i="2" l="1"/>
  <c r="I151" i="56" s="1"/>
  <c r="K6" i="54"/>
  <c r="K58" i="54" s="1"/>
  <c r="I155" i="56"/>
  <c r="K60" i="54" s="1"/>
  <c r="K62" i="54" s="1"/>
  <c r="F6" i="54"/>
  <c r="R6" i="54"/>
  <c r="G6" i="54"/>
  <c r="J120" i="2" l="1"/>
  <c r="J124" i="2" s="1"/>
  <c r="I159" i="56" s="1"/>
  <c r="L6" i="54"/>
  <c r="L58" i="54" s="1"/>
  <c r="J59" i="57" s="1"/>
  <c r="L60" i="54"/>
  <c r="S6" i="54"/>
  <c r="W6" i="54" s="1"/>
  <c r="W58" i="54" s="1"/>
  <c r="R58" i="54"/>
  <c r="F58" i="54"/>
  <c r="G58" i="54"/>
  <c r="E5" i="106" l="1"/>
  <c r="E479" i="106" s="1"/>
  <c r="M6" i="54"/>
  <c r="M58" i="54"/>
  <c r="Z6" i="54"/>
  <c r="M60" i="54"/>
  <c r="E486" i="106"/>
  <c r="S58" i="54"/>
  <c r="L62" i="54"/>
  <c r="G5" i="106" l="1"/>
  <c r="G480" i="106" s="1"/>
  <c r="M62" i="54"/>
  <c r="E510" i="106"/>
  <c r="G486" i="106"/>
  <c r="G510" i="106" s="1"/>
  <c r="G512"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<sst xmlns="http://schemas.openxmlformats.org/spreadsheetml/2006/main" count="20176" uniqueCount="591">
  <si>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</si>
  <si>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</si>
  <si>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</si>
  <si>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</si>
  <si>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</si>
  <si>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</si>
  <si>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</si>
  <si>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</si>
  <si>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</si>
  <si>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</si>
  <si>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</si>
  <si>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</si>
  <si>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</si>
  <si>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</si>
  <si>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</si>
  <si>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</si>
  <si>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</si>
  <si>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</si>
  <si>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</si>
  <si>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</si>
  <si>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</si>
  <si>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</si>
  <si>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</si>
  <si>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</si>
  <si>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</si>
  <si>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</si>
  <si>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</si>
  <si>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</si>
  <si>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</si>
  <si>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</si>
  <si>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</si>
  <si>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</si>
  <si>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</si>
  <si>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</si>
  <si>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</si>
  <si>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</si>
  <si>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</si>
  <si>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</si>
  <si>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</si>
  <si>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</si>
  <si>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</si>
  <si>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</si>
  <si>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</si>
  <si>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</si>
  <si>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</si>
  <si>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</si>
  <si>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</si>
  <si>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</si>
  <si>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</si>
  <si>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</si>
  <si>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</si>
  <si>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</si>
  <si>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</si>
  <si>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</si>
  <si>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</si>
  <si>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</si>
  <si>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</si>
  <si>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</si>
  <si>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</si>
  <si>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</si>
  <si>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</si>
  <si>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</si>
  <si>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</si>
  <si>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</si>
  <si>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</si>
  <si>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</si>
  <si>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</si>
  <si>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</si>
  <si>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</si>
  <si>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</si>
  <si>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</si>
  <si>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</si>
  <si>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</si>
  <si>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</si>
  <si>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</si>
  <si>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</si>
  <si>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</si>
  <si>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</si>
  <si>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</si>
  <si>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</si>
  <si>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</si>
  <si>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</si>
  <si>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</si>
  <si>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</si>
  <si>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</si>
  <si>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</si>
  <si>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</si>
  <si>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</si>
  <si>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</si>
  <si>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</si>
  <si>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</si>
  <si>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</si>
  <si>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</si>
  <si>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</si>
  <si>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</si>
  <si>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</si>
  <si>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</si>
  <si>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</si>
  <si>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</si>
  <si>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</si>
  <si>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</si>
  <si>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</si>
  <si>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</si>
  <si>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</si>
  <si>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</si>
  <si>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</si>
  <si>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</si>
  <si>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</si>
  <si>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</si>
  <si>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</si>
  <si>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</si>
  <si>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</si>
  <si>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</si>
  <si>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</si>
  <si>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</si>
  <si>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</si>
  <si>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</si>
  <si>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</si>
  <si>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</si>
  <si>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</si>
  <si>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</si>
  <si>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</si>
  <si>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</si>
  <si>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</si>
  <si>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</si>
  <si>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</si>
  <si>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</si>
  <si>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</si>
  <si>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</si>
  <si>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</si>
  <si>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</si>
  <si>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</si>
  <si>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</si>
  <si>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</si>
  <si>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</si>
  <si>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</si>
  <si>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</si>
  <si>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</si>
  <si>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</si>
  <si>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</si>
  <si>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</si>
  <si>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</si>
  <si>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</si>
  <si>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</si>
  <si>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</si>
  <si>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</si>
  <si>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</si>
  <si>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</si>
  <si>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</si>
  <si>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</si>
  <si>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</si>
  <si>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</si>
  <si>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</si>
  <si>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</si>
  <si>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</si>
  <si>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</si>
  <si>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Oct 2024</t>
  </si>
  <si>
    <t>Feb 2025</t>
  </si>
  <si>
    <t>Total FTE</t>
  </si>
  <si>
    <t>Oct 2024 FTE</t>
  </si>
  <si>
    <t>Feb 2025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</si>
  <si>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</si>
  <si>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</si>
  <si>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</si>
  <si>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</si>
  <si>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</si>
  <si>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</si>
  <si>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</si>
  <si>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</si>
  <si>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</si>
  <si>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</si>
  <si>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</si>
  <si>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</si>
  <si>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</si>
  <si>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</si>
  <si>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</si>
  <si>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</si>
  <si>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</si>
  <si>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</si>
  <si>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</si>
  <si>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</si>
  <si>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</si>
  <si>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</si>
  <si>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</si>
  <si>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</si>
  <si>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</si>
  <si>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</si>
  <si>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</si>
  <si>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</si>
  <si>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</si>
  <si>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</si>
  <si>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</si>
  <si>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</si>
  <si>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</si>
  <si>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</si>
  <si>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</si>
  <si>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</si>
  <si>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</si>
  <si>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</si>
  <si>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</si>
  <si>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</si>
  <si>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</si>
  <si>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</si>
  <si>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</si>
  <si>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</si>
  <si>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</si>
  <si>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</si>
  <si>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</si>
  <si>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</si>
  <si>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</si>
  <si>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</si>
  <si>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</si>
  <si>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</si>
  <si>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</si>
  <si>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</si>
  <si>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</si>
  <si>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</si>
  <si>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</si>
  <si>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</si>
  <si>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</si>
  <si>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</si>
  <si>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</si>
  <si>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</si>
  <si>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</si>
  <si>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</si>
  <si>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</si>
  <si>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</si>
  <si>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</si>
  <si>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</si>
  <si>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</si>
  <si>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</si>
  <si>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</si>
  <si>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</si>
  <si>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</si>
  <si>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</si>
  <si>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</si>
  <si>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</si>
  <si>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</si>
  <si>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</si>
  <si>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</si>
  <si>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</si>
  <si>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</si>
  <si>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</si>
  <si>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</si>
  <si>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</si>
  <si>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</si>
  <si>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</si>
  <si>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</si>
  <si>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</si>
  <si>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</si>
  <si>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</si>
  <si>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</si>
  <si>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</si>
  <si>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</si>
  <si>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</si>
  <si>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</si>
  <si>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</si>
  <si>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</si>
  <si>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</si>
  <si>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</si>
  <si>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</si>
  <si>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</si>
  <si>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</si>
  <si>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</si>
  <si>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</si>
  <si>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</si>
  <si>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</si>
  <si>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</si>
  <si>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</si>
  <si>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</si>
  <si>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</si>
  <si>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</si>
  <si>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</si>
  <si>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</si>
  <si>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</si>
  <si>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</si>
  <si>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</si>
  <si>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</si>
  <si>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</si>
  <si>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</si>
  <si>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</si>
  <si>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</si>
  <si>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</si>
  <si>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</si>
  <si>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</si>
  <si>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</si>
  <si>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</si>
  <si>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</si>
  <si>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</si>
  <si>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</si>
  <si>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</si>
  <si>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</si>
  <si>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</si>
  <si>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</si>
  <si>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</si>
  <si>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</si>
  <si>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</si>
  <si>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</si>
  <si>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</si>
  <si>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</si>
  <si>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</si>
  <si>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</si>
  <si>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</si>
  <si>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</si>
  <si>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</si>
  <si>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</si>
  <si>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</si>
  <si>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</si>
  <si>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</si>
  <si>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</si>
  <si>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</si>
  <si>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</si>
  <si>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</si>
  <si>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</si>
  <si>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</si>
  <si>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</si>
  <si>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</si>
  <si>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</si>
  <si>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</si>
  <si>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</si>
  <si>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</si>
  <si>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</si>
  <si>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</si>
  <si>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</si>
  <si>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</si>
  <si>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</si>
  <si>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</si>
  <si>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</si>
  <si>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</si>
  <si>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</si>
  <si>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</si>
  <si>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</si>
  <si>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</si>
  <si>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</si>
  <si>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</si>
  <si>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</si>
  <si>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</si>
  <si>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</si>
  <si>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</si>
  <si>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</si>
  <si>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</si>
  <si>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</si>
  <si>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</si>
  <si>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</si>
  <si>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</si>
  <si>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</si>
  <si>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</si>
  <si>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</si>
  <si>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</si>
  <si>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</si>
  <si>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</si>
  <si>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</si>
  <si>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</si>
  <si>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</si>
  <si>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</si>
  <si>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</si>
  <si>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</si>
  <si>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</si>
  <si>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</si>
  <si>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</si>
  <si>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</si>
  <si>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</si>
  <si>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</si>
  <si>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</si>
  <si>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</si>
  <si>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</si>
  <si>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</si>
  <si>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</si>
  <si>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</si>
  <si>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</si>
  <si>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</si>
  <si>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</si>
  <si>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</si>
  <si>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</si>
  <si>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</si>
  <si>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</si>
  <si>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</si>
  <si>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</si>
  <si>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</si>
  <si>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</si>
  <si>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</si>
  <si>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</si>
  <si>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</si>
  <si>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</si>
  <si>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</si>
  <si>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</si>
  <si>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</si>
  <si>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</si>
  <si>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</si>
  <si>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</si>
  <si>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</si>
  <si>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</si>
  <si>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</si>
  <si>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</si>
  <si>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</si>
  <si>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</si>
  <si>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</si>
  <si>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</si>
  <si>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</si>
  <si>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</si>
  <si>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</si>
  <si>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</si>
  <si>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</si>
  <si>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</si>
  <si>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</si>
  <si>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</si>
  <si>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</si>
  <si>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</si>
  <si>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</si>
  <si>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</si>
  <si>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</si>
  <si>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</si>
  <si>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</si>
  <si>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</si>
  <si>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</si>
  <si>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</si>
  <si>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</si>
  <si>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</si>
  <si>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</si>
  <si>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</si>
  <si>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</si>
  <si>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</si>
  <si>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</si>
  <si>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</si>
  <si>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</si>
  <si>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</si>
  <si>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</si>
  <si>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</si>
  <si>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</si>
  <si>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</si>
  <si>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</si>
  <si>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</si>
  <si>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</si>
  <si>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</si>
  <si>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</si>
  <si>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</si>
  <si>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</si>
  <si>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</si>
  <si>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</si>
  <si>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</si>
  <si>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</si>
  <si>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</si>
  <si>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</si>
  <si>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</si>
  <si>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</si>
  <si>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</si>
  <si>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</si>
  <si>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</si>
  <si>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</si>
  <si>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</si>
  <si>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</si>
  <si>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</si>
  <si>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</si>
  <si>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</si>
  <si>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</si>
  <si>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</si>
  <si>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</si>
  <si>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</si>
  <si>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</si>
  <si>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</si>
  <si>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</si>
  <si>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</si>
  <si>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</si>
  <si>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</si>
  <si>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</si>
  <si>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</si>
  <si>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</si>
  <si>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</si>
  <si>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</si>
  <si>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</si>
  <si>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</si>
  <si>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</si>
  <si>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</si>
  <si>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</si>
  <si>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</si>
  <si>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</si>
  <si>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</si>
  <si>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</si>
  <si>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</si>
  <si>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</si>
  <si>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</si>
  <si>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</si>
  <si>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</si>
  <si>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</si>
  <si>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</si>
  <si>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</si>
  <si>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</si>
  <si>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</si>
  <si>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</si>
  <si>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</si>
  <si>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</si>
  <si>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</si>
  <si>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</si>
  <si>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</si>
  <si>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</si>
  <si>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</si>
  <si>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</si>
  <si>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</si>
  <si>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</si>
  <si>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</si>
  <si>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</si>
  <si>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</si>
  <si>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</si>
  <si>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</si>
  <si>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</si>
  <si>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</si>
  <si>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</si>
  <si>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</si>
  <si>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</si>
  <si>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</si>
  <si>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</si>
  <si>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</si>
  <si>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</si>
  <si>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</si>
  <si>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</si>
  <si>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</si>
  <si>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</si>
  <si>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WPB-271562</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</si>
  <si>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</si>
  <si>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</si>
  <si>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</si>
  <si>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</si>
  <si>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</si>
  <si>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</si>
  <si>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</si>
  <si>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</si>
  <si>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</si>
  <si>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</si>
  <si>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</si>
  <si>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</si>
  <si>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</si>
  <si>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</si>
  <si>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</si>
  <si>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</si>
  <si>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</si>
  <si>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</si>
  <si>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</si>
  <si>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</si>
  <si>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</si>
  <si>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</si>
  <si>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WPB-292475</t>
  </si>
  <si>
    <t>WPB- 274470</t>
  </si>
  <si>
    <t>WPB- 297231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</si>
  <si>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</si>
  <si>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</si>
  <si>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</si>
  <si>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</si>
  <si>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</si>
  <si>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</si>
  <si>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</si>
  <si>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</si>
  <si>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</si>
  <si>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</si>
  <si>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</si>
  <si>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</si>
  <si>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</si>
  <si>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</si>
  <si>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</si>
  <si>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</si>
  <si>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</si>
  <si>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</si>
  <si>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</si>
  <si>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documents uploaded to the District's Charter School Fiscal Oversight web page (click on "Payments 2013-25"</t>
  </si>
  <si>
    <t>a.  FY25 Final FTE Revenue Worksheet</t>
  </si>
  <si>
    <t>b.  FDOE 2024-25 Final Survey</t>
  </si>
  <si>
    <t>Based on the 2025-26 Second Calculation Worksheet</t>
  </si>
  <si>
    <t>4. The Budget Department received the FDOE's 2024-25 Final FTE count survey report.  The prior year final FEFP</t>
  </si>
  <si>
    <t>and open the "Payments 2013-25" section on the next page).</t>
  </si>
  <si>
    <r>
      <t>January 2026</t>
    </r>
    <r>
      <rPr>
        <b/>
        <sz val="10"/>
        <color indexed="12"/>
        <rFont val="Calibri"/>
        <family val="2"/>
      </rPr>
      <t xml:space="preserve"> - </t>
    </r>
    <r>
      <rPr>
        <b/>
        <sz val="10"/>
        <rFont val="Calibri"/>
        <family val="2"/>
      </rPr>
      <t xml:space="preserve">FY </t>
    </r>
    <r>
      <rPr>
        <b/>
        <sz val="10"/>
        <color indexed="12"/>
        <rFont val="Calibri"/>
        <family val="2"/>
      </rPr>
      <t xml:space="preserve">2025 </t>
    </r>
    <r>
      <rPr>
        <b/>
        <sz val="10"/>
        <rFont val="Calibri"/>
        <family val="2"/>
      </rPr>
      <t>Charter School FTE Payment</t>
    </r>
  </si>
  <si>
    <t>FTE January 2026</t>
  </si>
  <si>
    <t>WPB-303276</t>
  </si>
  <si>
    <t>WPB-310033</t>
  </si>
  <si>
    <t>WPB-310034</t>
  </si>
  <si>
    <t>WPB-310035</t>
  </si>
  <si>
    <t>WPB-310036</t>
  </si>
  <si>
    <t>WPB-310037</t>
  </si>
  <si>
    <t>WPB-310038</t>
  </si>
  <si>
    <t>WPB-310039</t>
  </si>
  <si>
    <t>WPB-310040</t>
  </si>
  <si>
    <t>WPB-310041</t>
  </si>
  <si>
    <t>WPB-310042</t>
  </si>
  <si>
    <t>WPB-310490</t>
  </si>
  <si>
    <t>WPB-310491</t>
  </si>
  <si>
    <t>WPB-310492</t>
  </si>
  <si>
    <t>No payment for January- School closed</t>
  </si>
  <si>
    <t>1. The FLDOE released the FY24-25 Final Survey report in September of 2025. FTE counts from this report are used for the January 2026</t>
  </si>
  <si>
    <t>2. The FDOE has issued the 2025-26 second Calc Revenue Worksheet for Charter Schools,  which was used for the January 2026</t>
  </si>
  <si>
    <t>3. The FDOE released the updated May 2025 Survey 3 Transportation information, which was used for the January 2026</t>
  </si>
  <si>
    <t>adjustments added to or deducted from the January 2026 FEFP payments are based on the following</t>
  </si>
  <si>
    <t>January 2026</t>
  </si>
  <si>
    <t>Revenue Estimate Worksheet: Glades Academy - 3382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</si>
</sst>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0._);\(#,##0.\)"/>
    <numFmt numFmtId="174" formatCode="#,##0;[Red]\(#,##0\)"/>
    <numFmt numFmtId="175" formatCode="#,##0.0000\ \ \ _);\(#,##0.0000\)"/>
    <numFmt numFmtId="176" formatCode="_(* #,##0.0000_);_(* \(#,##0.0000\);_(* &quot;-&quot;????_);_(@_)"/>
    <numFmt numFmtId="177" formatCode="#,##0.0000\ \ \ \ \ \ \ \ \ \ _);\(#,##0.0000\ \ \ \ \ \ \ \ \ \ \)"/>
    <numFmt numFmtId="178" formatCode="#,##0.00\ \ \ \ _);\(#,##0.00\)"/>
    <numFmt numFmtId="179" formatCode="_(* #,##0_);_(* \(#,##0\);_(* &quot;-&quot;??_);_(@_)"/>
    <numFmt numFmtId="180" formatCode="#,##0.00\ \ \ _);\(#,##0.00\)"/>
  </numFmts>
  <fonts count="77"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1001">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0" fontId="39" fillId="10" borderId="0" xfId="16" applyFont="1" applyFill="1"/>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3"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3"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4" fontId="44" fillId="0" borderId="0" xfId="2" applyNumberFormat="1" applyFont="1"/>
    <xf numFmtId="174"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4"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5"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5"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6"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1"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1"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1"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78" fontId="35" fillId="11"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1"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2" borderId="0" xfId="15" applyFont="1" applyFill="1"/>
    <xf numFmtId="43" fontId="2" fillId="12"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79" fontId="11" fillId="2" borderId="3" xfId="1" applyNumberFormat="1" applyFont="1" applyFill="1" applyBorder="1" applyAlignment="1">
      <alignment horizontal="center"/>
    </xf>
    <xf numFmtId="2" fontId="5" fillId="0" borderId="0" xfId="2" applyNumberFormat="1" applyFont="1" applyAlignment="1">
      <alignment horizontal="right"/>
    </xf>
    <xf numFmtId="179"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0" fontId="36" fillId="0" borderId="0" xfId="16" applyNumberFormat="1" applyFont="1"/>
    <xf numFmtId="180" fontId="36" fillId="0" borderId="4" xfId="16" applyNumberFormat="1" applyFont="1" applyBorder="1"/>
    <xf numFmtId="180" fontId="36" fillId="0" borderId="0" xfId="16" applyNumberFormat="1" applyFont="1" applyBorder="1"/>
    <xf numFmtId="180" fontId="36" fillId="0" borderId="0" xfId="16" applyNumberFormat="1" applyFont="1" applyBorder="1" applyAlignment="1">
      <alignment horizontal="right"/>
    </xf>
    <xf numFmtId="4" fontId="35" fillId="11"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2"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4" borderId="0" xfId="0" applyFont="1" applyFill="1"/>
    <xf numFmtId="43" fontId="31" fillId="5" borderId="3" xfId="1" applyFont="1" applyFill="1" applyBorder="1" applyAlignment="1">
      <alignment horizontal="right"/>
    </xf>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0"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Border="1" applyAlignment="1">
      <alignment horizontal="center"/>
    </xf>
    <xf numFmtId="49" fontId="42" fillId="5" borderId="0" xfId="16" quotePrefix="1" applyNumberFormat="1" applyFont="1" applyFill="1" applyBorder="1" applyAlignment="1">
      <alignment horizontal="center"/>
    </xf>
    <xf numFmtId="49" fontId="40" fillId="5" borderId="0" xfId="16" quotePrefix="1" applyNumberFormat="1" applyFont="1" applyFill="1" applyBorder="1" applyAlignment="1">
      <alignment wrapText="1"/>
    </xf>
    <xf numFmtId="0" fontId="40" fillId="5" borderId="0" xfId="16" quotePrefix="1" applyFont="1" applyFill="1" applyBorder="1" applyAlignment="1">
      <alignment vertical="top" wrapText="1"/>
    </xf>
    <xf numFmtId="0" fontId="40" fillId="5" borderId="0" xfId="0" quotePrefix="1" applyFont="1" applyFill="1" applyBorder="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36" fillId="0" borderId="4" xfId="16" applyFont="1" applyBorder="1" applyAlignment="1">
      <alignment horizontal="left"/>
    </xf>
    <xf numFmtId="164" fontId="36" fillId="0" borderId="0" xfId="16" applyNumberFormat="1" applyFont="1" applyAlignment="1">
      <alignment horizontal="center"/>
    </xf>
    <xf numFmtId="0" fontId="36" fillId="0" borderId="0" xfId="16" applyFont="1" applyAlignment="1">
      <alignment horizontal="left"/>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0" fontId="36" fillId="0" borderId="3" xfId="16" applyFont="1" applyBorder="1" applyAlignment="1">
      <alignment horizontal="left" wrapText="1"/>
    </xf>
    <xf numFmtId="164" fontId="36" fillId="0" borderId="3" xfId="16" applyNumberFormat="1" applyFont="1" applyBorder="1" applyAlignment="1">
      <alignment horizontal="center" wrapText="1"/>
    </xf>
    <xf numFmtId="0" fontId="36" fillId="0" borderId="0" xfId="16" quotePrefix="1" applyFont="1" applyAlignment="1">
      <alignment horizontal="left" indent="2"/>
    </xf>
    <xf numFmtId="0" fontId="36" fillId="0" borderId="0" xfId="16" applyFont="1" applyAlignment="1">
      <alignment horizontal="left" indent="2"/>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0" xfId="16" quotePrefix="1" applyFont="1" applyAlignment="1">
      <alignment horizontal="left"/>
    </xf>
    <xf numFmtId="0" fontId="36" fillId="0" borderId="0" xfId="16" quotePrefix="1" applyFont="1" applyAlignment="1">
      <alignment horizontal="center"/>
    </xf>
    <xf numFmtId="0" fontId="49" fillId="0" borderId="0" xfId="16" quotePrefix="1" applyFont="1" applyAlignment="1">
      <alignment horizontal="right"/>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0" fontId="36" fillId="0" borderId="0" xfId="16" applyFont="1" applyAlignment="1">
      <alignment horizontal="right"/>
    </xf>
    <xf numFmtId="0" fontId="36" fillId="0" borderId="0" xfId="16" applyFont="1" applyAlignment="1">
      <alignment horizontal="center"/>
    </xf>
    <xf numFmtId="0" fontId="36" fillId="0" borderId="3" xfId="16" applyFont="1" applyBorder="1" applyAlignment="1">
      <alignment horizontal="center"/>
    </xf>
    <xf numFmtId="177" fontId="36" fillId="0" borderId="0" xfId="16" applyNumberFormat="1" applyFont="1"/>
    <xf numFmtId="177" fontId="36" fillId="0" borderId="10" xfId="16" applyNumberFormat="1" applyFont="1" applyBorder="1"/>
    <xf numFmtId="0" fontId="36" fillId="0" borderId="0" xfId="16" quotePrefix="1" applyFont="1" applyAlignment="1">
      <alignment horizontal="left" wrapText="1"/>
    </xf>
    <xf numFmtId="0" fontId="5" fillId="0" borderId="5" xfId="2" applyFont="1" applyBorder="1" applyAlignment="1">
      <alignment horizontal="left" indent="3"/>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applyFont="1" applyAlignment="1">
      <alignment horizontal="right"/>
    </xf>
    <xf numFmtId="0" fontId="23" fillId="0" borderId="0" xfId="16" applyFont="1" applyAlignment="1">
      <alignment horizontal="left" vertical="center"/>
    </xf>
    <xf numFmtId="0" fontId="23" fillId="0" borderId="0" xfId="16" applyFont="1" applyAlignment="1">
      <alignment horizontal="left" vertical="center" wrapText="1"/>
    </xf>
    <xf numFmtId="7" fontId="36" fillId="0" borderId="0" xfId="16" applyNumberFormat="1" applyFont="1" applyAlignment="1">
      <alignment horizontal="right"/>
    </xf>
    <xf numFmtId="0" fontId="36" fillId="4" borderId="3" xfId="16" applyFont="1" applyFill="1" applyBorder="1" applyAlignment="1">
      <alignment horizontal="center"/>
    </xf>
    <xf numFmtId="3" fontId="36" fillId="0" borderId="0" xfId="16" quotePrefix="1" applyNumberFormat="1" applyFont="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3" xfId="0" applyFont="1" applyFill="1" applyBorder="1" applyAlignment="1">
      <alignment horizontal="left" indent="3"/>
    </xf>
    <xf numFmtId="0" fontId="5" fillId="0" borderId="3" xfId="2" applyFont="1" applyBorder="1" applyAlignment="1">
      <alignment horizontal="left" indent="3"/>
    </xf>
    <xf numFmtId="2" fontId="11" fillId="5" borderId="5" xfId="2" applyNumberFormat="1" applyFont="1" applyFill="1" applyBorder="1" applyAlignment="1">
      <alignment horizontal="center"/>
    </xf>
    <xf numFmtId="0" fontId="5" fillId="0" borderId="0" xfId="2" applyFont="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28" fillId="0" borderId="0" xfId="2" applyFont="1" applyAlignment="1">
      <alignment horizontal="left"/>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0" fontId="5" fillId="5" borderId="0" xfId="0" applyFont="1" applyFill="1" applyAlignment="1">
      <alignment horizontal="center"/>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2" fontId="30" fillId="5" borderId="5" xfId="0" applyNumberFormat="1" applyFont="1" applyFill="1" applyBorder="1" applyAlignment="1">
      <alignment horizontal="center"/>
    </xf>
    <xf numFmtId="164" fontId="5" fillId="5" borderId="4" xfId="0" applyNumberFormat="1" applyFont="1" applyFill="1" applyBorder="1" applyAlignment="1">
      <alignment horizontal="center"/>
    </xf>
    <xf numFmtId="0" fontId="27" fillId="0" borderId="0" xfId="2" applyFont="1" applyAlignment="1">
      <alignment horizontal="left" wrapText="1"/>
    </xf>
    <xf numFmtId="0" fontId="23" fillId="0" borderId="0" xfId="2" applyFont="1" applyAlignment="1">
      <alignment horizontal="left" wrapText="1"/>
    </xf>
    <xf numFmtId="0" fontId="28" fillId="0" borderId="0" xfId="2" applyFont="1" applyAlignment="1">
      <alignment horizontal="left" wrapText="1"/>
    </xf>
    <xf numFmtId="164" fontId="5" fillId="5" borderId="0" xfId="0" applyNumberFormat="1" applyFont="1" applyFill="1" applyAlignment="1">
      <alignment horizontal="center"/>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4" fontId="11" fillId="5" borderId="5" xfId="0" applyNumberFormat="1" applyFont="1" applyFill="1" applyBorder="1" applyAlignment="1">
      <alignment horizontal="center" vertical="center" wrapText="1"/>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5" fillId="5" borderId="0" xfId="0" applyFont="1" applyFill="1" applyAlignment="1">
      <alignment horizontal="right"/>
    </xf>
    <xf numFmtId="0" fontId="5" fillId="0" borderId="0" xfId="2" applyFont="1" applyAlignment="1">
      <alignment horizontal="right"/>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7" fontId="5" fillId="0" borderId="4" xfId="2" applyNumberFormat="1" applyFont="1" applyBorder="1" applyAlignment="1">
      <alignment horizontal="right"/>
    </xf>
    <xf numFmtId="7" fontId="5" fillId="0" borderId="0" xfId="2" applyNumberFormat="1" applyFont="1" applyAlignment="1">
      <alignment horizontal="right"/>
    </xf>
    <xf numFmtId="0" fontId="5" fillId="5" borderId="0" xfId="0" applyFont="1" applyFill="1" applyAlignment="1">
      <alignment horizontal="left" wrapText="1" indent="2"/>
    </xf>
    <xf numFmtId="166" fontId="5" fillId="5" borderId="0" xfId="0" applyNumberFormat="1" applyFont="1" applyFill="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30" fillId="5" borderId="3" xfId="0" applyFont="1" applyFill="1" applyBorder="1" applyAlignment="1">
      <alignment horizontal="center"/>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11" fillId="5" borderId="5" xfId="0" applyFont="1" applyFill="1" applyBorder="1" applyAlignment="1">
      <alignment horizontal="center"/>
    </xf>
    <xf numFmtId="7" fontId="5" fillId="5" borderId="4" xfId="0" applyNumberFormat="1" applyFont="1" applyFill="1" applyBorder="1" applyAlignment="1">
      <alignment horizontal="right"/>
    </xf>
    <xf numFmtId="0" fontId="5" fillId="5" borderId="3" xfId="0" applyFont="1" applyFill="1" applyBorder="1" applyAlignment="1">
      <alignment horizontal="center"/>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0" fontId="11" fillId="0" borderId="3" xfId="2" applyFont="1" applyFill="1" applyBorder="1" applyAlignment="1">
      <alignment horizontal="center"/>
    </xf>
    <xf numFmtId="0" fontId="11" fillId="0" borderId="3" xfId="1" applyNumberFormat="1" applyFont="1" applyFill="1" applyBorder="1" applyAlignment="1">
      <alignment horizontal="center"/>
    </xf>
    <xf numFmtId="3" fontId="5" fillId="5" borderId="0" xfId="0" quotePrefix="1" applyNumberFormat="1" applyFont="1" applyFill="1" applyAlignment="1">
      <alignment horizontal="center"/>
    </xf>
    <xf numFmtId="169" fontId="13" fillId="0" borderId="0" xfId="2" applyNumberFormat="1" applyFont="1" applyAlignment="1">
      <alignment horizontal="left" indent="2"/>
    </xf>
    <xf numFmtId="0" fontId="5" fillId="0" borderId="4" xfId="2" applyFont="1" applyBorder="1" applyAlignment="1">
      <alignment horizontal="left"/>
    </xf>
    <xf numFmtId="0" fontId="5" fillId="0" borderId="0" xfId="2" applyFont="1" applyAlignment="1">
      <alignment horizontal="left" wrapText="1"/>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0" fontId="23" fillId="5" borderId="0" xfId="0" applyFont="1" applyFill="1" applyAlignment="1">
      <alignment horizontal="left" wrapText="1"/>
    </xf>
    <xf numFmtId="0" fontId="23" fillId="5" borderId="0" xfId="0" applyFont="1" applyFill="1" applyAlignment="1">
      <alignment horizontal="left"/>
    </xf>
    <xf numFmtId="4" fontId="11" fillId="0" borderId="0" xfId="2" applyNumberFormat="1" applyFont="1" applyFill="1" applyBorder="1" applyAlignment="1">
      <alignment horizontal="center" vertical="center" wrapText="1"/>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2" fontId="5" fillId="0" borderId="0" xfId="2" applyNumberFormat="1" applyFont="1" applyAlignment="1">
      <alignment horizontal="center"/>
    </xf>
    <xf numFmtId="2" fontId="5" fillId="0" borderId="4" xfId="2" applyNumberFormat="1" applyFont="1" applyBorder="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0" fontId="31"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4" fontId="22" fillId="0" borderId="0" xfId="2" applyNumberFormat="1" applyFont="1" applyAlignment="1">
      <alignment horizontal="left"/>
    </xf>
    <xf numFmtId="164" fontId="5" fillId="0" borderId="0" xfId="2" applyNumberFormat="1" applyFont="1" applyAlignment="1">
      <alignment horizontal="right" wrapText="1"/>
    </xf>
    <xf numFmtId="43" fontId="11" fillId="0" borderId="3" xfId="2" applyNumberFormat="1" applyFont="1" applyFill="1" applyBorder="1" applyAlignment="1">
      <alignment horizontal="center"/>
    </xf>
    <xf numFmtId="43" fontId="13" fillId="0" borderId="3" xfId="1" applyFont="1" applyBorder="1" applyAlignment="1">
      <alignment horizontal="center"/>
    </xf>
    <xf numFmtId="1" fontId="11" fillId="0" borderId="3" xfId="2" applyNumberFormat="1" applyFont="1" applyFill="1" applyBorder="1" applyAlignment="1">
      <alignment horizontal="center"/>
    </xf>
    <xf numFmtId="164" fontId="74" fillId="5" borderId="0" xfId="0" applyNumberFormat="1" applyFont="1" applyFill="1" applyAlignment="1">
      <alignment horizontal="right"/>
    </xf>
    <xf numFmtId="4" fontId="32" fillId="0" borderId="0" xfId="2" applyNumberFormat="1" applyFont="1" applyAlignment="1">
      <alignment horizontal="left" indent="1"/>
    </xf>
    <xf numFmtId="2" fontId="11" fillId="0" borderId="3" xfId="2" applyNumberFormat="1" applyFont="1" applyFill="1" applyBorder="1" applyAlignment="1">
      <alignment horizontal="center"/>
    </xf>
    <xf numFmtId="2" fontId="11" fillId="0" borderId="3" xfId="1" applyNumberFormat="1" applyFont="1" applyFill="1" applyBorder="1" applyAlignment="1">
      <alignment horizontal="center"/>
    </xf>
    <xf numFmtId="43" fontId="11" fillId="0" borderId="3" xfId="1" applyFont="1" applyFill="1" applyBorder="1" applyAlignment="1">
      <alignment horizontal="center"/>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0" xfId="2" applyNumberFormat="1" applyFont="1" applyAlignment="1">
      <alignment horizontal="left" indent="2"/>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J2" t="str">
            <v>Total
Acceleration 
Value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J3">
            <v>1565.48</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J4">
            <v>123.22</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J5">
            <v>749.97</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J6">
            <v>21.119999999999997</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J7">
            <v>2961.1099999999997</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J8">
            <v>12233.810000000001</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J9">
            <v>55.910000000000004</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J10">
            <v>745.33999999999992</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J11">
            <v>366.55999999999995</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J12">
            <v>1665.54</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J13">
            <v>2012.67</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J14">
            <v>192.18</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J15">
            <v>12198.96</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J16">
            <v>86.710000000000008</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J17">
            <v>40.36</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J18">
            <v>3004.15</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J19">
            <v>1291.8400000000001</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J20">
            <v>462.77</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J21">
            <v>14.49</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J22">
            <v>47.8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J23">
            <v>102.86000000000001</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J24">
            <v>30.18</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J25">
            <v>23.799999999999997</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J26">
            <v>37.760000000000005</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J27">
            <v>143.24</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J28">
            <v>301.35000000000002</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J29">
            <v>777.74</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J30">
            <v>314.75</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J31">
            <v>9564.52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J32">
            <v>31.32</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J33">
            <v>485.03000000000003</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J34">
            <v>162.97999999999999</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J35">
            <v>10.6</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J36">
            <v>76.55</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J37">
            <v>1688.27</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J38">
            <v>2858.34</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J39">
            <v>1052.17</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J40">
            <v>112.5</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J41">
            <v>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J42">
            <v>32.76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J43">
            <v>1417.92</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J44">
            <v>1303.5500000000002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J45">
            <v>921.9</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J46">
            <v>276.74</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J47">
            <v>462.88</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J48">
            <v>1063.47</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J49">
            <v>191.64</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J50">
            <v>7988.45</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J51">
            <v>1803.05</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J52">
            <v>11461.43</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J53">
            <v>2646.09</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J54">
            <v>3640.29</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J55">
            <v>1965.5900000000001</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J56">
            <v>248.72</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J57">
            <v>3372.62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J58">
            <v>1840.4900000000002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J59">
            <v>1267.67</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J60">
            <v>2421.5</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J61">
            <v>3236.6899999999996</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J62">
            <v>532.4</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J63">
            <v>134.80000000000001</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J64">
            <v>28.89</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J65">
            <v>48.39</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J66">
            <v>1907.13</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J67">
            <v>168.93</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J68">
            <v>525.26</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J69">
            <v>107.03</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J70">
            <v>12.3</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J71">
            <v>169.63</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J72">
            <v>0</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J73">
            <v>99.71</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J74">
            <v>84.42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J75">
            <v>740.38</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J76">
            <v>3.52</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J77">
            <v>1.44</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J78">
            <v>109743.62999999999</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row r="2">
          <cell r="B2" t="str">
            <v>2025-26 Transportation Calculation</v>
          </cell>
        </row>
        <row r="3">
          <cell r="B3" t="str">
            <v>Funding Per Student</v>
          </cell>
        </row>
        <row r="6">
          <cell r="F6" t="str">
            <v xml:space="preserve">Allocation </v>
          </cell>
          <cell r="J6" t="str">
            <v xml:space="preserve">Allocation </v>
          </cell>
        </row>
        <row r="7">
          <cell r="F7" t="str">
            <v>per Base</v>
          </cell>
          <cell r="J7" t="str">
            <v>per ESE</v>
          </cell>
        </row>
        <row r="8">
          <cell r="F8" t="str">
            <v>Student</v>
          </cell>
          <cell r="J8" t="str">
            <v>Student</v>
          </cell>
        </row>
        <row r="9">
          <cell r="F9" t="str">
            <v>-3-</v>
          </cell>
          <cell r="J9" t="str">
            <v>-6-</v>
          </cell>
        </row>
        <row r="10">
          <cell r="B10">
            <v>1</v>
          </cell>
          <cell r="F10">
            <v>607</v>
          </cell>
          <cell r="J10">
            <v>1842</v>
          </cell>
        </row>
        <row r="11">
          <cell r="B11">
            <v>2</v>
          </cell>
          <cell r="F11">
            <v>651</v>
          </cell>
          <cell r="J11">
            <v>1976</v>
          </cell>
        </row>
        <row r="12">
          <cell r="B12">
            <v>3</v>
          </cell>
          <cell r="F12">
            <v>583</v>
          </cell>
          <cell r="J12">
            <v>1768</v>
          </cell>
        </row>
        <row r="13">
          <cell r="B13">
            <v>4</v>
          </cell>
          <cell r="F13">
            <v>613</v>
          </cell>
          <cell r="J13">
            <v>1860</v>
          </cell>
        </row>
        <row r="14">
          <cell r="B14">
            <v>5</v>
          </cell>
          <cell r="F14">
            <v>587</v>
          </cell>
          <cell r="J14">
            <v>1781</v>
          </cell>
        </row>
        <row r="15">
          <cell r="B15">
            <v>6</v>
          </cell>
          <cell r="F15">
            <v>571</v>
          </cell>
          <cell r="J15">
            <v>1731</v>
          </cell>
        </row>
        <row r="16">
          <cell r="B16">
            <v>7</v>
          </cell>
          <cell r="F16">
            <v>643</v>
          </cell>
          <cell r="J16">
            <v>1951</v>
          </cell>
        </row>
        <row r="17">
          <cell r="B17">
            <v>8</v>
          </cell>
          <cell r="F17">
            <v>583</v>
          </cell>
          <cell r="J17">
            <v>1768</v>
          </cell>
        </row>
        <row r="18">
          <cell r="B18">
            <v>9</v>
          </cell>
          <cell r="F18">
            <v>607</v>
          </cell>
          <cell r="J18">
            <v>1842</v>
          </cell>
        </row>
        <row r="19">
          <cell r="B19">
            <v>10</v>
          </cell>
          <cell r="F19">
            <v>602</v>
          </cell>
          <cell r="J19">
            <v>1827</v>
          </cell>
        </row>
        <row r="20">
          <cell r="B20">
            <v>11</v>
          </cell>
          <cell r="F20">
            <v>582</v>
          </cell>
          <cell r="J20">
            <v>1766</v>
          </cell>
        </row>
        <row r="21">
          <cell r="B21">
            <v>12</v>
          </cell>
          <cell r="F21">
            <v>641</v>
          </cell>
          <cell r="J21">
            <v>1943</v>
          </cell>
        </row>
        <row r="22">
          <cell r="B22">
            <v>13</v>
          </cell>
          <cell r="F22">
            <v>552</v>
          </cell>
          <cell r="J22">
            <v>1675</v>
          </cell>
        </row>
        <row r="23">
          <cell r="B23">
            <v>14</v>
          </cell>
          <cell r="F23">
            <v>610</v>
          </cell>
          <cell r="J23">
            <v>1849</v>
          </cell>
        </row>
        <row r="24">
          <cell r="B24">
            <v>15</v>
          </cell>
          <cell r="F24">
            <v>646</v>
          </cell>
          <cell r="J24">
            <v>1959</v>
          </cell>
        </row>
        <row r="25">
          <cell r="B25">
            <v>16</v>
          </cell>
          <cell r="F25">
            <v>556</v>
          </cell>
          <cell r="J25">
            <v>1686</v>
          </cell>
        </row>
        <row r="26">
          <cell r="B26">
            <v>17</v>
          </cell>
          <cell r="F26">
            <v>585</v>
          </cell>
          <cell r="J26">
            <v>1774</v>
          </cell>
        </row>
        <row r="27">
          <cell r="B27">
            <v>18</v>
          </cell>
          <cell r="F27">
            <v>598</v>
          </cell>
          <cell r="J27">
            <v>1814</v>
          </cell>
        </row>
        <row r="28">
          <cell r="B28">
            <v>19</v>
          </cell>
          <cell r="F28">
            <v>673</v>
          </cell>
          <cell r="J28">
            <v>2045</v>
          </cell>
        </row>
        <row r="29">
          <cell r="B29">
            <v>20</v>
          </cell>
          <cell r="F29">
            <v>637</v>
          </cell>
          <cell r="J29">
            <v>1932</v>
          </cell>
        </row>
        <row r="30">
          <cell r="B30">
            <v>21</v>
          </cell>
          <cell r="F30">
            <v>664</v>
          </cell>
          <cell r="J30">
            <v>2015</v>
          </cell>
        </row>
        <row r="31">
          <cell r="B31">
            <v>22</v>
          </cell>
          <cell r="F31">
            <v>626</v>
          </cell>
          <cell r="J31">
            <v>1898</v>
          </cell>
        </row>
        <row r="32">
          <cell r="B32">
            <v>23</v>
          </cell>
          <cell r="F32">
            <v>647</v>
          </cell>
          <cell r="J32">
            <v>1961</v>
          </cell>
        </row>
        <row r="33">
          <cell r="B33">
            <v>24</v>
          </cell>
          <cell r="F33">
            <v>670</v>
          </cell>
          <cell r="J33">
            <v>2032</v>
          </cell>
        </row>
        <row r="34">
          <cell r="B34">
            <v>25</v>
          </cell>
          <cell r="F34">
            <v>663</v>
          </cell>
          <cell r="J34">
            <v>2011</v>
          </cell>
        </row>
        <row r="35">
          <cell r="B35">
            <v>26</v>
          </cell>
          <cell r="F35">
            <v>611</v>
          </cell>
          <cell r="J35">
            <v>1853</v>
          </cell>
        </row>
        <row r="36">
          <cell r="B36">
            <v>27</v>
          </cell>
          <cell r="F36">
            <v>649</v>
          </cell>
          <cell r="J36">
            <v>1967</v>
          </cell>
        </row>
        <row r="37">
          <cell r="B37">
            <v>28</v>
          </cell>
          <cell r="F37">
            <v>587</v>
          </cell>
          <cell r="J37">
            <v>1780</v>
          </cell>
        </row>
        <row r="38">
          <cell r="B38">
            <v>29</v>
          </cell>
          <cell r="F38">
            <v>597</v>
          </cell>
          <cell r="J38">
            <v>1811</v>
          </cell>
        </row>
        <row r="39">
          <cell r="B39">
            <v>30</v>
          </cell>
          <cell r="F39">
            <v>644</v>
          </cell>
          <cell r="J39">
            <v>1953</v>
          </cell>
        </row>
        <row r="40">
          <cell r="B40">
            <v>31</v>
          </cell>
          <cell r="F40">
            <v>578</v>
          </cell>
          <cell r="J40">
            <v>1754</v>
          </cell>
        </row>
        <row r="41">
          <cell r="B41">
            <v>32</v>
          </cell>
          <cell r="F41">
            <v>641</v>
          </cell>
          <cell r="J41">
            <v>1945</v>
          </cell>
        </row>
        <row r="42">
          <cell r="B42">
            <v>33</v>
          </cell>
          <cell r="F42">
            <v>653</v>
          </cell>
          <cell r="J42">
            <v>1977</v>
          </cell>
        </row>
        <row r="43">
          <cell r="B43">
            <v>34</v>
          </cell>
          <cell r="F43">
            <v>647</v>
          </cell>
          <cell r="J43">
            <v>0</v>
          </cell>
        </row>
        <row r="44">
          <cell r="B44">
            <v>35</v>
          </cell>
          <cell r="F44">
            <v>580</v>
          </cell>
          <cell r="J44">
            <v>1759</v>
          </cell>
        </row>
        <row r="45">
          <cell r="B45">
            <v>36</v>
          </cell>
          <cell r="F45">
            <v>585</v>
          </cell>
          <cell r="J45">
            <v>1773</v>
          </cell>
        </row>
        <row r="46">
          <cell r="B46">
            <v>37</v>
          </cell>
          <cell r="F46">
            <v>598</v>
          </cell>
          <cell r="J46">
            <v>1813</v>
          </cell>
        </row>
        <row r="47">
          <cell r="B47">
            <v>38</v>
          </cell>
          <cell r="F47">
            <v>666</v>
          </cell>
          <cell r="J47">
            <v>2019</v>
          </cell>
        </row>
        <row r="48">
          <cell r="B48">
            <v>39</v>
          </cell>
          <cell r="F48">
            <v>649</v>
          </cell>
          <cell r="J48">
            <v>1968</v>
          </cell>
        </row>
        <row r="49">
          <cell r="B49">
            <v>40</v>
          </cell>
          <cell r="F49">
            <v>650</v>
          </cell>
          <cell r="J49">
            <v>1973</v>
          </cell>
        </row>
        <row r="50">
          <cell r="B50">
            <v>41</v>
          </cell>
          <cell r="F50">
            <v>596</v>
          </cell>
          <cell r="J50">
            <v>1809</v>
          </cell>
        </row>
        <row r="51">
          <cell r="B51">
            <v>42</v>
          </cell>
          <cell r="F51">
            <v>614</v>
          </cell>
          <cell r="J51">
            <v>1864</v>
          </cell>
        </row>
        <row r="52">
          <cell r="B52">
            <v>43</v>
          </cell>
          <cell r="F52">
            <v>615</v>
          </cell>
          <cell r="J52">
            <v>1865</v>
          </cell>
        </row>
        <row r="53">
          <cell r="B53">
            <v>44</v>
          </cell>
          <cell r="F53">
            <v>583</v>
          </cell>
          <cell r="J53">
            <v>1767</v>
          </cell>
        </row>
        <row r="54">
          <cell r="B54">
            <v>45</v>
          </cell>
          <cell r="F54">
            <v>666</v>
          </cell>
          <cell r="J54">
            <v>2020</v>
          </cell>
        </row>
        <row r="55">
          <cell r="B55">
            <v>46</v>
          </cell>
          <cell r="F55">
            <v>588</v>
          </cell>
          <cell r="J55">
            <v>1782</v>
          </cell>
        </row>
        <row r="56">
          <cell r="B56">
            <v>47</v>
          </cell>
          <cell r="F56">
            <v>607</v>
          </cell>
          <cell r="J56">
            <v>1841</v>
          </cell>
        </row>
        <row r="57">
          <cell r="B57">
            <v>48</v>
          </cell>
          <cell r="F57">
            <v>610</v>
          </cell>
          <cell r="J57">
            <v>1850</v>
          </cell>
        </row>
        <row r="58">
          <cell r="B58">
            <v>49</v>
          </cell>
          <cell r="F58">
            <v>614</v>
          </cell>
          <cell r="J58">
            <v>1862</v>
          </cell>
        </row>
        <row r="59">
          <cell r="B59">
            <v>50</v>
          </cell>
          <cell r="F59">
            <v>617</v>
          </cell>
          <cell r="J59">
            <v>1870</v>
          </cell>
        </row>
        <row r="60">
          <cell r="B60">
            <v>51</v>
          </cell>
          <cell r="F60">
            <v>626</v>
          </cell>
          <cell r="J60">
            <v>1899</v>
          </cell>
        </row>
        <row r="61">
          <cell r="B61">
            <v>52</v>
          </cell>
          <cell r="F61">
            <v>578</v>
          </cell>
          <cell r="J61">
            <v>1752</v>
          </cell>
        </row>
        <row r="62">
          <cell r="B62">
            <v>53</v>
          </cell>
          <cell r="F62">
            <v>611</v>
          </cell>
          <cell r="J62">
            <v>1853</v>
          </cell>
        </row>
        <row r="63">
          <cell r="B63">
            <v>54</v>
          </cell>
          <cell r="F63">
            <v>675</v>
          </cell>
          <cell r="J63">
            <v>2046</v>
          </cell>
        </row>
        <row r="64">
          <cell r="B64">
            <v>55</v>
          </cell>
          <cell r="F64">
            <v>632</v>
          </cell>
          <cell r="J64">
            <v>1917</v>
          </cell>
        </row>
        <row r="65">
          <cell r="B65">
            <v>56</v>
          </cell>
          <cell r="F65">
            <v>577</v>
          </cell>
          <cell r="J65">
            <v>1752</v>
          </cell>
        </row>
        <row r="66">
          <cell r="B66">
            <v>57</v>
          </cell>
          <cell r="F66">
            <v>596</v>
          </cell>
          <cell r="J66">
            <v>1808</v>
          </cell>
        </row>
        <row r="67">
          <cell r="B67">
            <v>58</v>
          </cell>
          <cell r="F67">
            <v>583</v>
          </cell>
          <cell r="J67">
            <v>1770</v>
          </cell>
        </row>
        <row r="68">
          <cell r="B68">
            <v>59</v>
          </cell>
          <cell r="F68">
            <v>609</v>
          </cell>
          <cell r="J68">
            <v>1847</v>
          </cell>
        </row>
        <row r="69">
          <cell r="B69">
            <v>60</v>
          </cell>
          <cell r="F69">
            <v>584</v>
          </cell>
          <cell r="J69">
            <v>1771</v>
          </cell>
        </row>
        <row r="70">
          <cell r="B70">
            <v>61</v>
          </cell>
          <cell r="F70">
            <v>637</v>
          </cell>
          <cell r="J70">
            <v>1933</v>
          </cell>
        </row>
        <row r="71">
          <cell r="B71">
            <v>62</v>
          </cell>
          <cell r="F71">
            <v>622</v>
          </cell>
          <cell r="J71">
            <v>1887</v>
          </cell>
        </row>
        <row r="72">
          <cell r="B72">
            <v>63</v>
          </cell>
          <cell r="F72">
            <v>663</v>
          </cell>
          <cell r="J72">
            <v>2011</v>
          </cell>
        </row>
        <row r="73">
          <cell r="B73">
            <v>64</v>
          </cell>
          <cell r="F73">
            <v>656</v>
          </cell>
          <cell r="J73">
            <v>1988</v>
          </cell>
        </row>
        <row r="74">
          <cell r="B74">
            <v>65</v>
          </cell>
          <cell r="F74">
            <v>671</v>
          </cell>
          <cell r="J74">
            <v>2035</v>
          </cell>
        </row>
        <row r="75">
          <cell r="B75">
            <v>66</v>
          </cell>
          <cell r="F75">
            <v>653</v>
          </cell>
          <cell r="J75">
            <v>1980</v>
          </cell>
        </row>
        <row r="76">
          <cell r="B76">
            <v>67</v>
          </cell>
          <cell r="F76">
            <v>656</v>
          </cell>
          <cell r="J76">
            <v>1990</v>
          </cell>
        </row>
        <row r="78">
          <cell r="F78">
            <v>600</v>
          </cell>
          <cell r="J78">
            <v>1810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row r="114">
          <cell r="E114">
            <v>0</v>
          </cell>
        </row>
      </sheetData>
      <sheetData sheetId="7" refreshError="1">
        <row r="88">
          <cell r="I88">
            <v>0</v>
          </cell>
        </row>
        <row r="96">
          <cell r="I96">
            <v>0</v>
          </cell>
        </row>
        <row r="98">
          <cell r="I98">
            <v>0</v>
          </cell>
        </row>
        <row r="114">
          <cell r="E114">
            <v>0</v>
          </cell>
        </row>
      </sheetData>
      <sheetData sheetId="8" refreshError="1">
        <row r="3">
          <cell r="A3" t="str">
            <v>Based on the FLDOE 2025-26 FEFP Calculation</v>
          </cell>
        </row>
        <row r="8">
          <cell r="C8">
            <v>5372.6</v>
          </cell>
          <cell r="H8">
            <v>1.0355000000000001</v>
          </cell>
        </row>
        <row r="9">
          <cell r="H9">
            <v>1</v>
          </cell>
        </row>
        <row r="10">
          <cell r="I10" t="str">
            <v>2025-26</v>
          </cell>
        </row>
        <row r="11">
          <cell r="C11" t="str">
            <v>Oct 2024</v>
          </cell>
          <cell r="D11" t="str">
            <v>Feb 2025</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14">
          <cell r="E114">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1</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0.5</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5" refreshError="1">
        <row r="88">
          <cell r="I88">
            <v>0</v>
          </cell>
        </row>
        <row r="96">
          <cell r="I96">
            <v>0</v>
          </cell>
        </row>
        <row r="98">
          <cell r="I98">
            <v>0</v>
          </cell>
        </row>
        <row r="114">
          <cell r="E114">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53"/>
  <sheetViews>
    <sheetView workbookViewId="0">
      <selection activeCell="C528" sqref="C528"/>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06" bestFit="1" customWidth="1"/>
    <col min="7" max="7" width="21.42578125" style="309" customWidth="1"/>
    <col min="8" max="8" width="4.28515625" style="606" customWidth="1"/>
    <col min="9" max="9" width="75.7109375" style="309" bestFit="1" customWidth="1"/>
    <col min="10" max="10" width="9.5703125" style="309" bestFit="1" customWidth="1"/>
    <col min="11" max="16384" width="9.140625" style="309"/>
  </cols>
  <sheetData>
    <row r="1" spans="1:9" ht="12.75" customHeight="1" x14ac:dyDescent="0.2">
      <c r="A1" s="603"/>
      <c r="B1" s="604" t="s">
        <v>568</v>
      </c>
      <c r="C1" s="605"/>
      <c r="I1" s="607"/>
    </row>
    <row r="2" spans="1:9" ht="12.75" customHeight="1" x14ac:dyDescent="0.2">
      <c r="B2" s="608" t="str">
        <f>Based_on_the_Second_Calculation_of_the_FEFP_2010_11</f>
        <v>Based on the 2025-26 Second Calculation Worksheet</v>
      </c>
      <c r="C2" s="609"/>
      <c r="E2" s="610"/>
      <c r="F2" s="611"/>
      <c r="G2" s="610"/>
      <c r="I2" s="612"/>
    </row>
    <row r="3" spans="1:9" ht="12.75" customHeight="1" thickBot="1" x14ac:dyDescent="0.25">
      <c r="B3" s="613"/>
      <c r="C3" s="609"/>
      <c r="E3" s="610"/>
      <c r="F3" s="798"/>
      <c r="G3" s="798"/>
      <c r="I3" s="612"/>
    </row>
    <row r="4" spans="1:9" ht="12.75" customHeight="1" thickBot="1" x14ac:dyDescent="0.25">
      <c r="A4" s="310"/>
      <c r="B4" s="614" t="s">
        <v>487</v>
      </c>
      <c r="C4" s="615" t="s">
        <v>488</v>
      </c>
      <c r="D4" s="600" t="s">
        <v>489</v>
      </c>
      <c r="E4" s="601" t="s">
        <v>54</v>
      </c>
      <c r="F4" s="616" t="s">
        <v>490</v>
      </c>
      <c r="G4" s="601" t="s">
        <v>491</v>
      </c>
      <c r="I4" s="617" t="s">
        <v>492</v>
      </c>
    </row>
    <row r="5" spans="1:9" ht="12.75" customHeight="1" x14ac:dyDescent="0.2">
      <c r="A5" s="618">
        <v>1</v>
      </c>
      <c r="B5" s="619" t="s">
        <v>212</v>
      </c>
      <c r="C5" s="620" t="s">
        <v>213</v>
      </c>
      <c r="D5" s="621" t="s">
        <v>569</v>
      </c>
      <c r="E5" s="622">
        <f>'0040'!$J$124</f>
        <v>24538.63</v>
      </c>
      <c r="F5" s="623"/>
      <c r="G5" s="622">
        <f>SUBTOTAL(109,E5:F7)</f>
        <v>24538.63</v>
      </c>
      <c r="I5" s="624"/>
    </row>
    <row r="6" spans="1:9" ht="12.75" hidden="1" customHeight="1" x14ac:dyDescent="0.2">
      <c r="A6" s="318"/>
      <c r="B6" s="613"/>
      <c r="C6" s="625"/>
      <c r="D6" s="603" t="s">
        <v>494</v>
      </c>
      <c r="E6" s="318"/>
      <c r="F6" s="797"/>
      <c r="G6" s="318"/>
      <c r="I6" s="626"/>
    </row>
    <row r="7" spans="1:9" ht="12.75" hidden="1" customHeight="1" x14ac:dyDescent="0.2">
      <c r="A7" s="318"/>
      <c r="B7" s="613"/>
      <c r="C7" s="625"/>
      <c r="D7" s="310"/>
      <c r="E7" s="318"/>
      <c r="F7" s="611"/>
      <c r="G7" s="318"/>
      <c r="I7" s="627" t="s">
        <v>493</v>
      </c>
    </row>
    <row r="8" spans="1:9" ht="12.75" customHeight="1" x14ac:dyDescent="0.2">
      <c r="A8" s="618">
        <v>2</v>
      </c>
      <c r="B8" s="619" t="s">
        <v>556</v>
      </c>
      <c r="C8" s="620" t="s">
        <v>557</v>
      </c>
      <c r="D8" s="621" t="str">
        <f>D5</f>
        <v>FTE January 2026</v>
      </c>
      <c r="E8" s="622">
        <f>'0571'!$J$124</f>
        <v>43342.64</v>
      </c>
      <c r="F8" s="623"/>
      <c r="G8" s="622">
        <f>SUBTOTAL(109,E8:F8)</f>
        <v>43342.64</v>
      </c>
      <c r="I8" s="627"/>
    </row>
    <row r="9" spans="1:9" ht="12.75" hidden="1" customHeight="1" x14ac:dyDescent="0.2">
      <c r="A9" s="318"/>
      <c r="B9" s="312"/>
      <c r="C9" s="628"/>
      <c r="D9" s="603"/>
      <c r="E9" s="779"/>
      <c r="F9" s="611"/>
      <c r="G9" s="779"/>
      <c r="I9" s="627"/>
    </row>
    <row r="10" spans="1:9" ht="12.75" customHeight="1" x14ac:dyDescent="0.2">
      <c r="A10" s="318">
        <v>3</v>
      </c>
      <c r="B10" s="312" t="s">
        <v>214</v>
      </c>
      <c r="C10" s="628" t="s">
        <v>333</v>
      </c>
      <c r="D10" s="603" t="str">
        <f>D5</f>
        <v>FTE January 2026</v>
      </c>
      <c r="E10" s="629">
        <f>'0100'!$J$124</f>
        <v>28707.39</v>
      </c>
      <c r="F10" s="611"/>
      <c r="G10" s="629">
        <f>SUBTOTAL(109,E10:F12)</f>
        <v>28707.39</v>
      </c>
      <c r="I10" s="630"/>
    </row>
    <row r="11" spans="1:9" ht="12.75" hidden="1" customHeight="1" x14ac:dyDescent="0.2">
      <c r="A11" s="318"/>
      <c r="B11" s="613"/>
      <c r="C11" s="625"/>
      <c r="D11" s="310" t="s">
        <v>494</v>
      </c>
      <c r="E11" s="318"/>
      <c r="F11" s="797"/>
      <c r="G11" s="318"/>
      <c r="I11" s="630"/>
    </row>
    <row r="12" spans="1:9" ht="12.75" hidden="1" customHeight="1" x14ac:dyDescent="0.2">
      <c r="A12" s="318"/>
      <c r="B12" s="625"/>
      <c r="C12" s="625"/>
      <c r="D12" s="318"/>
      <c r="E12" s="318"/>
      <c r="F12" s="611"/>
      <c r="G12" s="318"/>
      <c r="I12" s="626"/>
    </row>
    <row r="13" spans="1:9" ht="12.75" hidden="1" customHeight="1" x14ac:dyDescent="0.2">
      <c r="A13" s="318"/>
      <c r="B13" s="625"/>
      <c r="C13" s="625"/>
      <c r="D13" s="318"/>
      <c r="E13" s="318"/>
      <c r="F13" s="611"/>
      <c r="G13" s="318"/>
      <c r="I13" s="631"/>
    </row>
    <row r="14" spans="1:9" s="368" customFormat="1" ht="13.5" customHeight="1" x14ac:dyDescent="0.2">
      <c r="A14" s="618">
        <v>4</v>
      </c>
      <c r="B14" s="632" t="s">
        <v>216</v>
      </c>
      <c r="C14" s="633" t="s">
        <v>217</v>
      </c>
      <c r="D14" s="634" t="s">
        <v>569</v>
      </c>
      <c r="E14" s="622">
        <f>'1461'!$J$124</f>
        <v>659372.19999999995</v>
      </c>
      <c r="F14" s="635"/>
      <c r="G14" s="622">
        <f>SUBTOTAL(109,E14:F52)</f>
        <v>581081.73</v>
      </c>
      <c r="H14" s="636"/>
      <c r="I14" s="631"/>
    </row>
    <row r="15" spans="1:9" s="368" customFormat="1" ht="12.75" hidden="1" customHeight="1" x14ac:dyDescent="0.2">
      <c r="A15" s="618"/>
      <c r="B15" s="632"/>
      <c r="C15" s="633"/>
      <c r="D15" s="637" t="s">
        <v>494</v>
      </c>
      <c r="E15" s="622"/>
      <c r="F15" s="635"/>
      <c r="G15" s="622"/>
      <c r="H15" s="636"/>
      <c r="I15" s="627" t="s">
        <v>493</v>
      </c>
    </row>
    <row r="16" spans="1:9" s="368" customFormat="1" ht="12.75" hidden="1" customHeight="1" x14ac:dyDescent="0.2">
      <c r="A16" s="618"/>
      <c r="B16" s="632"/>
      <c r="C16" s="633"/>
      <c r="D16" s="638" t="s">
        <v>495</v>
      </c>
      <c r="E16" s="622"/>
      <c r="F16" s="635"/>
      <c r="G16" s="622"/>
      <c r="H16" s="636"/>
      <c r="I16" s="627"/>
    </row>
    <row r="17" spans="1:9" s="368" customFormat="1" ht="12.75" hidden="1" customHeight="1" x14ac:dyDescent="0.2">
      <c r="A17" s="618"/>
      <c r="B17" s="632"/>
      <c r="C17" s="633"/>
      <c r="D17" s="637" t="s">
        <v>496</v>
      </c>
      <c r="E17" s="622"/>
      <c r="F17" s="635"/>
      <c r="G17" s="622"/>
      <c r="H17" s="636"/>
      <c r="I17" s="627"/>
    </row>
    <row r="18" spans="1:9" s="368" customFormat="1" ht="12.75" hidden="1" customHeight="1" thickBot="1" x14ac:dyDescent="0.25">
      <c r="A18" s="618"/>
      <c r="B18" s="632"/>
      <c r="C18" s="633"/>
      <c r="D18" s="637" t="s">
        <v>497</v>
      </c>
      <c r="E18" s="622"/>
      <c r="F18" s="635"/>
      <c r="G18" s="622"/>
      <c r="H18" s="636"/>
      <c r="I18" s="639"/>
    </row>
    <row r="19" spans="1:9" s="368" customFormat="1" ht="12.75" hidden="1" customHeight="1" x14ac:dyDescent="0.2">
      <c r="A19" s="618"/>
      <c r="B19" s="632"/>
      <c r="C19" s="633"/>
      <c r="D19" s="637" t="s">
        <v>498</v>
      </c>
      <c r="E19" s="622"/>
      <c r="F19" s="635"/>
      <c r="G19" s="622"/>
      <c r="H19" s="636"/>
      <c r="I19" s="626"/>
    </row>
    <row r="20" spans="1:9" s="368" customFormat="1" ht="12.75" hidden="1" customHeight="1" x14ac:dyDescent="0.2">
      <c r="A20" s="618"/>
      <c r="B20" s="632"/>
      <c r="C20" s="633"/>
      <c r="D20" s="637" t="s">
        <v>499</v>
      </c>
      <c r="E20" s="622"/>
      <c r="F20" s="635"/>
      <c r="G20" s="622"/>
      <c r="H20" s="636"/>
      <c r="I20" s="631"/>
    </row>
    <row r="21" spans="1:9" s="368" customFormat="1" ht="12.75" customHeight="1" thickBot="1" x14ac:dyDescent="0.25">
      <c r="A21" s="618"/>
      <c r="B21" s="632"/>
      <c r="C21" s="640"/>
      <c r="D21" s="641" t="s">
        <v>500</v>
      </c>
      <c r="E21" s="622"/>
      <c r="F21" s="635">
        <v>-59325.279999999999</v>
      </c>
      <c r="G21" s="622"/>
      <c r="H21" s="636"/>
      <c r="I21" s="642"/>
    </row>
    <row r="22" spans="1:9" s="368" customFormat="1" ht="12.75" customHeight="1" x14ac:dyDescent="0.2">
      <c r="A22" s="618"/>
      <c r="B22" s="632"/>
      <c r="C22" s="640"/>
      <c r="D22" s="641" t="s">
        <v>501</v>
      </c>
      <c r="E22" s="622"/>
      <c r="F22" s="635">
        <v>-14222.22</v>
      </c>
      <c r="G22" s="622"/>
      <c r="H22" s="636"/>
    </row>
    <row r="23" spans="1:9" s="368" customFormat="1" ht="12.75" customHeight="1" x14ac:dyDescent="0.2">
      <c r="A23" s="618"/>
      <c r="B23" s="632"/>
      <c r="C23" s="640"/>
      <c r="D23" s="641" t="s">
        <v>502</v>
      </c>
      <c r="E23" s="622"/>
      <c r="F23" s="635">
        <v>-264.72000000000003</v>
      </c>
      <c r="G23" s="622"/>
      <c r="H23" s="636"/>
      <c r="I23" s="643"/>
    </row>
    <row r="24" spans="1:9" s="368" customFormat="1" ht="12.75" customHeight="1" x14ac:dyDescent="0.2">
      <c r="A24" s="618"/>
      <c r="B24" s="632"/>
      <c r="C24" s="640"/>
      <c r="D24" s="644" t="s">
        <v>503</v>
      </c>
      <c r="E24" s="622"/>
      <c r="F24" s="635">
        <v>-94.48</v>
      </c>
      <c r="G24" s="622"/>
      <c r="H24" s="636"/>
      <c r="I24" s="643"/>
    </row>
    <row r="25" spans="1:9" s="368" customFormat="1" ht="12.75" customHeight="1" x14ac:dyDescent="0.2">
      <c r="A25" s="618"/>
      <c r="B25" s="632"/>
      <c r="C25" s="640"/>
      <c r="D25" s="641" t="s">
        <v>504</v>
      </c>
      <c r="E25" s="622"/>
      <c r="F25" s="635">
        <v>-90</v>
      </c>
      <c r="G25" s="622"/>
      <c r="H25" s="636"/>
      <c r="I25" s="645"/>
    </row>
    <row r="26" spans="1:9" s="368" customFormat="1" ht="12.75" hidden="1" customHeight="1" x14ac:dyDescent="0.2">
      <c r="A26" s="618"/>
      <c r="B26" s="632"/>
      <c r="C26" s="646" t="s">
        <v>505</v>
      </c>
      <c r="D26" s="644" t="s">
        <v>506</v>
      </c>
      <c r="E26" s="622"/>
      <c r="F26" s="635"/>
      <c r="G26" s="622"/>
      <c r="H26" s="636"/>
      <c r="I26" s="645"/>
    </row>
    <row r="27" spans="1:9" s="368" customFormat="1" ht="12.75" hidden="1" customHeight="1" x14ac:dyDescent="0.2">
      <c r="A27" s="618"/>
      <c r="B27" s="632"/>
      <c r="C27" s="640"/>
      <c r="D27" s="644" t="s">
        <v>507</v>
      </c>
      <c r="E27" s="622"/>
      <c r="F27" s="635"/>
      <c r="G27" s="622"/>
      <c r="H27" s="636"/>
      <c r="I27" s="647"/>
    </row>
    <row r="28" spans="1:9" s="368" customFormat="1" ht="12.75" hidden="1" customHeight="1" x14ac:dyDescent="0.2">
      <c r="A28" s="618"/>
      <c r="B28" s="632"/>
      <c r="C28" s="640"/>
      <c r="D28" s="644"/>
      <c r="E28" s="622"/>
      <c r="F28" s="635"/>
      <c r="G28" s="622"/>
      <c r="H28" s="636"/>
      <c r="I28" s="647"/>
    </row>
    <row r="29" spans="1:9" s="368" customFormat="1" ht="12.75" hidden="1" customHeight="1" x14ac:dyDescent="0.2">
      <c r="A29" s="618"/>
      <c r="B29" s="632"/>
      <c r="C29" s="640"/>
      <c r="D29" s="644"/>
      <c r="E29" s="622"/>
      <c r="F29" s="635"/>
      <c r="G29" s="622"/>
      <c r="H29" s="636"/>
      <c r="I29" s="647"/>
    </row>
    <row r="30" spans="1:9" s="368" customFormat="1" ht="12.75" hidden="1" customHeight="1" x14ac:dyDescent="0.2">
      <c r="A30" s="618"/>
      <c r="B30" s="632"/>
      <c r="C30" s="640"/>
      <c r="D30" s="644" t="s">
        <v>508</v>
      </c>
      <c r="E30" s="622"/>
      <c r="F30" s="635"/>
      <c r="G30" s="622"/>
      <c r="H30" s="636"/>
      <c r="I30" s="648"/>
    </row>
    <row r="31" spans="1:9" s="368" customFormat="1" ht="12.75" hidden="1" customHeight="1" x14ac:dyDescent="0.2">
      <c r="A31" s="618"/>
      <c r="B31" s="632"/>
      <c r="C31" s="640"/>
      <c r="D31" s="644" t="s">
        <v>509</v>
      </c>
      <c r="E31" s="622"/>
      <c r="F31" s="635"/>
      <c r="G31" s="622"/>
      <c r="H31" s="636"/>
      <c r="I31" s="643"/>
    </row>
    <row r="32" spans="1:9" s="368" customFormat="1" ht="12.75" hidden="1" customHeight="1" x14ac:dyDescent="0.2">
      <c r="A32" s="618"/>
      <c r="B32" s="632"/>
      <c r="C32" s="640"/>
      <c r="D32" s="644" t="s">
        <v>510</v>
      </c>
      <c r="E32" s="622"/>
      <c r="F32" s="635"/>
      <c r="G32" s="622"/>
      <c r="H32" s="636"/>
      <c r="I32" s="648"/>
    </row>
    <row r="33" spans="1:9" s="368" customFormat="1" ht="12.75" hidden="1" customHeight="1" x14ac:dyDescent="0.2">
      <c r="A33" s="618"/>
      <c r="B33" s="632"/>
      <c r="C33" s="640"/>
      <c r="D33" s="644" t="s">
        <v>511</v>
      </c>
      <c r="E33" s="622"/>
      <c r="F33" s="635"/>
      <c r="G33" s="622"/>
      <c r="H33" s="636"/>
      <c r="I33" s="643"/>
    </row>
    <row r="34" spans="1:9" s="368" customFormat="1" ht="12.75" hidden="1" customHeight="1" x14ac:dyDescent="0.2">
      <c r="A34" s="618"/>
      <c r="B34" s="632"/>
      <c r="C34" s="640"/>
      <c r="D34" s="644"/>
      <c r="E34" s="622"/>
      <c r="F34" s="635"/>
      <c r="G34" s="622"/>
      <c r="H34" s="636"/>
    </row>
    <row r="35" spans="1:9" s="368" customFormat="1" ht="12.75" hidden="1" customHeight="1" x14ac:dyDescent="0.2">
      <c r="A35" s="618"/>
      <c r="B35" s="632"/>
      <c r="C35" s="640"/>
      <c r="D35" s="644"/>
      <c r="E35" s="622"/>
      <c r="F35" s="635"/>
      <c r="G35" s="622"/>
      <c r="H35" s="636"/>
      <c r="I35" s="643"/>
    </row>
    <row r="36" spans="1:9" s="368" customFormat="1" ht="12.75" hidden="1" customHeight="1" x14ac:dyDescent="0.2">
      <c r="A36" s="618"/>
      <c r="B36" s="632"/>
      <c r="C36" s="640"/>
      <c r="D36" s="644" t="s">
        <v>512</v>
      </c>
      <c r="E36" s="622"/>
      <c r="F36" s="635"/>
      <c r="G36" s="622"/>
      <c r="H36" s="636"/>
      <c r="I36" s="643"/>
    </row>
    <row r="37" spans="1:9" s="368" customFormat="1" ht="12.75" hidden="1" customHeight="1" x14ac:dyDescent="0.2">
      <c r="A37" s="618"/>
      <c r="B37" s="632"/>
      <c r="C37" s="640"/>
      <c r="D37" s="644" t="s">
        <v>513</v>
      </c>
      <c r="E37" s="622"/>
      <c r="F37" s="635"/>
      <c r="G37" s="622"/>
      <c r="H37" s="636"/>
      <c r="I37" s="643"/>
    </row>
    <row r="38" spans="1:9" s="368" customFormat="1" ht="12.75" hidden="1" customHeight="1" x14ac:dyDescent="0.2">
      <c r="A38" s="618"/>
      <c r="B38" s="632"/>
      <c r="C38" s="640"/>
      <c r="D38" s="644"/>
      <c r="E38" s="622"/>
      <c r="F38" s="635"/>
      <c r="G38" s="622"/>
      <c r="H38" s="636"/>
      <c r="I38" s="649"/>
    </row>
    <row r="39" spans="1:9" s="368" customFormat="1" ht="12.75" customHeight="1" x14ac:dyDescent="0.2">
      <c r="A39" s="618"/>
      <c r="B39" s="632"/>
      <c r="C39" s="640"/>
      <c r="D39" s="644" t="s">
        <v>570</v>
      </c>
      <c r="E39" s="622"/>
      <c r="F39" s="635">
        <v>-450</v>
      </c>
      <c r="G39" s="622"/>
      <c r="H39" s="636"/>
      <c r="I39" s="649"/>
    </row>
    <row r="40" spans="1:9" s="368" customFormat="1" ht="12.75" customHeight="1" x14ac:dyDescent="0.2">
      <c r="A40" s="618"/>
      <c r="B40" s="632"/>
      <c r="C40" s="640"/>
      <c r="D40" s="644" t="s">
        <v>571</v>
      </c>
      <c r="E40" s="622"/>
      <c r="F40" s="635">
        <v>-0.02</v>
      </c>
      <c r="G40" s="622"/>
      <c r="H40" s="636"/>
      <c r="I40" s="649"/>
    </row>
    <row r="41" spans="1:9" s="368" customFormat="1" ht="12.75" customHeight="1" x14ac:dyDescent="0.2">
      <c r="A41" s="618"/>
      <c r="B41" s="632"/>
      <c r="C41" s="640"/>
      <c r="D41" s="644" t="s">
        <v>572</v>
      </c>
      <c r="E41" s="622"/>
      <c r="F41" s="635">
        <v>-281.25</v>
      </c>
      <c r="G41" s="622"/>
      <c r="H41" s="636"/>
      <c r="I41" s="649"/>
    </row>
    <row r="42" spans="1:9" s="368" customFormat="1" ht="12.75" customHeight="1" x14ac:dyDescent="0.2">
      <c r="A42" s="618"/>
      <c r="B42" s="632"/>
      <c r="C42" s="640"/>
      <c r="D42" s="644" t="s">
        <v>573</v>
      </c>
      <c r="E42" s="622"/>
      <c r="F42" s="635">
        <v>-37.5</v>
      </c>
      <c r="G42" s="622"/>
      <c r="H42" s="636"/>
      <c r="I42" s="649"/>
    </row>
    <row r="43" spans="1:9" s="368" customFormat="1" ht="12.75" customHeight="1" x14ac:dyDescent="0.2">
      <c r="A43" s="618"/>
      <c r="B43" s="632"/>
      <c r="C43" s="640"/>
      <c r="D43" s="644" t="s">
        <v>574</v>
      </c>
      <c r="E43" s="622"/>
      <c r="F43" s="635">
        <v>-281.25</v>
      </c>
      <c r="G43" s="622"/>
      <c r="H43" s="636"/>
      <c r="I43" s="649"/>
    </row>
    <row r="44" spans="1:9" s="368" customFormat="1" ht="12.75" customHeight="1" x14ac:dyDescent="0.2">
      <c r="A44" s="618"/>
      <c r="B44" s="632"/>
      <c r="C44" s="640"/>
      <c r="D44" s="644" t="s">
        <v>575</v>
      </c>
      <c r="E44" s="622"/>
      <c r="F44" s="635">
        <v>-300</v>
      </c>
      <c r="G44" s="622"/>
      <c r="H44" s="636"/>
      <c r="I44" s="649"/>
    </row>
    <row r="45" spans="1:9" s="368" customFormat="1" ht="12.75" customHeight="1" x14ac:dyDescent="0.2">
      <c r="A45" s="618"/>
      <c r="B45" s="632"/>
      <c r="C45" s="640"/>
      <c r="D45" s="644" t="s">
        <v>576</v>
      </c>
      <c r="E45" s="622"/>
      <c r="F45" s="635">
        <v>-187.5</v>
      </c>
      <c r="G45" s="622"/>
      <c r="H45" s="636"/>
      <c r="I45" s="649"/>
    </row>
    <row r="46" spans="1:9" s="368" customFormat="1" ht="12.75" customHeight="1" x14ac:dyDescent="0.2">
      <c r="A46" s="618"/>
      <c r="B46" s="632"/>
      <c r="C46" s="640"/>
      <c r="D46" s="644" t="s">
        <v>577</v>
      </c>
      <c r="E46" s="622"/>
      <c r="F46" s="635">
        <v>-618.75</v>
      </c>
      <c r="G46" s="622"/>
      <c r="H46" s="636"/>
      <c r="I46" s="649"/>
    </row>
    <row r="47" spans="1:9" s="368" customFormat="1" ht="12.75" customHeight="1" x14ac:dyDescent="0.2">
      <c r="A47" s="618"/>
      <c r="B47" s="632"/>
      <c r="C47" s="640"/>
      <c r="D47" s="644" t="s">
        <v>578</v>
      </c>
      <c r="E47" s="622"/>
      <c r="F47" s="635">
        <v>-300</v>
      </c>
      <c r="G47" s="622"/>
      <c r="H47" s="636"/>
      <c r="I47" s="649"/>
    </row>
    <row r="48" spans="1:9" s="368" customFormat="1" ht="12.75" customHeight="1" x14ac:dyDescent="0.2">
      <c r="A48" s="618"/>
      <c r="B48" s="632"/>
      <c r="C48" s="640"/>
      <c r="D48" s="644" t="s">
        <v>579</v>
      </c>
      <c r="E48" s="622"/>
      <c r="F48" s="635">
        <v>-600</v>
      </c>
      <c r="G48" s="622"/>
      <c r="H48" s="636"/>
      <c r="I48" s="649"/>
    </row>
    <row r="49" spans="1:12" s="368" customFormat="1" ht="12.75" customHeight="1" x14ac:dyDescent="0.2">
      <c r="A49" s="618"/>
      <c r="B49" s="632"/>
      <c r="C49" s="640"/>
      <c r="D49" s="644" t="s">
        <v>580</v>
      </c>
      <c r="E49" s="622"/>
      <c r="F49" s="635">
        <v>-37.5</v>
      </c>
      <c r="G49" s="622"/>
      <c r="H49" s="636"/>
      <c r="I49" s="649"/>
    </row>
    <row r="50" spans="1:12" s="368" customFormat="1" ht="12.75" customHeight="1" x14ac:dyDescent="0.2">
      <c r="A50" s="618"/>
      <c r="B50" s="632"/>
      <c r="C50" s="640"/>
      <c r="D50" s="644" t="s">
        <v>581</v>
      </c>
      <c r="E50" s="622"/>
      <c r="F50" s="635">
        <v>-412.5</v>
      </c>
      <c r="G50" s="622"/>
      <c r="H50" s="636"/>
      <c r="I50" s="649"/>
    </row>
    <row r="51" spans="1:12" s="368" customFormat="1" ht="12.75" customHeight="1" x14ac:dyDescent="0.2">
      <c r="A51" s="618"/>
      <c r="B51" s="632"/>
      <c r="C51" s="640"/>
      <c r="D51" s="644" t="s">
        <v>582</v>
      </c>
      <c r="E51" s="622"/>
      <c r="F51" s="635">
        <v>-412.5</v>
      </c>
      <c r="G51" s="622"/>
      <c r="H51" s="636"/>
      <c r="I51" s="649"/>
    </row>
    <row r="52" spans="1:12" s="368" customFormat="1" ht="12.75" customHeight="1" x14ac:dyDescent="0.2">
      <c r="A52" s="618"/>
      <c r="B52" s="632"/>
      <c r="C52" s="640"/>
      <c r="D52" s="644" t="s">
        <v>583</v>
      </c>
      <c r="E52" s="622"/>
      <c r="F52" s="635">
        <v>-375</v>
      </c>
      <c r="G52" s="622"/>
      <c r="H52" s="636"/>
      <c r="I52" s="649"/>
    </row>
    <row r="53" spans="1:12" s="368" customFormat="1" ht="12.75" customHeight="1" x14ac:dyDescent="0.2">
      <c r="A53" s="318">
        <f>1+A14</f>
        <v>5</v>
      </c>
      <c r="B53" s="650" t="s">
        <v>218</v>
      </c>
      <c r="C53" s="651" t="s">
        <v>219</v>
      </c>
      <c r="D53" s="652" t="str">
        <f>$D$14</f>
        <v>FTE January 2026</v>
      </c>
      <c r="E53" s="629">
        <f>'1571'!$J$124</f>
        <v>860836.4</v>
      </c>
      <c r="F53" s="653"/>
      <c r="G53" s="629">
        <f>SUBTOTAL(109,E53:F68)</f>
        <v>846147.62000000011</v>
      </c>
      <c r="H53" s="636"/>
      <c r="I53" s="645"/>
    </row>
    <row r="54" spans="1:12" s="368" customFormat="1" ht="12.75" hidden="1" customHeight="1" x14ac:dyDescent="0.2">
      <c r="A54" s="318"/>
      <c r="B54" s="650"/>
      <c r="C54" s="654"/>
      <c r="D54" s="311" t="s">
        <v>494</v>
      </c>
      <c r="E54" s="629"/>
      <c r="F54" s="653"/>
      <c r="G54" s="629"/>
      <c r="H54" s="636"/>
      <c r="I54" s="645"/>
    </row>
    <row r="55" spans="1:12" s="368" customFormat="1" ht="12.75" hidden="1" customHeight="1" x14ac:dyDescent="0.2">
      <c r="A55" s="318"/>
      <c r="B55" s="650"/>
      <c r="C55" s="651"/>
      <c r="D55" s="655" t="s">
        <v>495</v>
      </c>
      <c r="E55" s="629"/>
      <c r="F55" s="653"/>
      <c r="G55" s="629"/>
      <c r="H55" s="636"/>
      <c r="I55" s="645"/>
    </row>
    <row r="56" spans="1:12" s="368" customFormat="1" ht="12.75" hidden="1" customHeight="1" x14ac:dyDescent="0.2">
      <c r="A56" s="318"/>
      <c r="B56" s="650"/>
      <c r="C56" s="656"/>
      <c r="D56" s="655" t="s">
        <v>514</v>
      </c>
      <c r="E56" s="629"/>
      <c r="F56" s="653"/>
      <c r="G56" s="629"/>
      <c r="H56" s="636"/>
      <c r="I56" s="645"/>
    </row>
    <row r="57" spans="1:12" s="368" customFormat="1" ht="12.75" hidden="1" customHeight="1" x14ac:dyDescent="0.2">
      <c r="A57" s="318"/>
      <c r="B57" s="650"/>
      <c r="C57" s="651"/>
      <c r="D57" s="311" t="s">
        <v>496</v>
      </c>
      <c r="E57" s="629"/>
      <c r="F57" s="653"/>
      <c r="G57" s="629"/>
      <c r="H57" s="636"/>
      <c r="I57" s="645"/>
      <c r="L57" s="657">
        <v>44630</v>
      </c>
    </row>
    <row r="58" spans="1:12" s="368" customFormat="1" ht="12.75" hidden="1" customHeight="1" x14ac:dyDescent="0.2">
      <c r="A58" s="318"/>
      <c r="B58" s="650"/>
      <c r="C58" s="651"/>
      <c r="D58" s="311" t="s">
        <v>497</v>
      </c>
      <c r="E58" s="629"/>
      <c r="F58" s="653"/>
      <c r="G58" s="629"/>
      <c r="H58" s="636"/>
      <c r="I58" s="645"/>
      <c r="L58" s="657">
        <f>L57-60</f>
        <v>44570</v>
      </c>
    </row>
    <row r="59" spans="1:12" s="368" customFormat="1" ht="12.75" hidden="1" customHeight="1" x14ac:dyDescent="0.2">
      <c r="A59" s="318"/>
      <c r="B59" s="650"/>
      <c r="C59" s="651"/>
      <c r="D59" s="311" t="s">
        <v>498</v>
      </c>
      <c r="E59" s="629"/>
      <c r="F59" s="653"/>
      <c r="G59" s="629"/>
      <c r="H59" s="636"/>
      <c r="I59" s="645"/>
    </row>
    <row r="60" spans="1:12" s="368" customFormat="1" ht="12.75" hidden="1" customHeight="1" x14ac:dyDescent="0.2">
      <c r="A60" s="318"/>
      <c r="B60" s="650"/>
      <c r="C60" s="651"/>
      <c r="D60" s="311" t="s">
        <v>499</v>
      </c>
      <c r="E60" s="629"/>
      <c r="F60" s="653"/>
      <c r="G60" s="629"/>
      <c r="H60" s="636"/>
      <c r="I60" s="645"/>
    </row>
    <row r="61" spans="1:12" s="368" customFormat="1" ht="12.75" customHeight="1" x14ac:dyDescent="0.2">
      <c r="A61" s="318"/>
      <c r="B61" s="650"/>
      <c r="C61" s="658"/>
      <c r="D61" s="659" t="s">
        <v>501</v>
      </c>
      <c r="E61" s="629"/>
      <c r="F61" s="653">
        <v>-14222.22</v>
      </c>
      <c r="G61" s="629"/>
      <c r="H61" s="636"/>
      <c r="I61" s="645"/>
    </row>
    <row r="62" spans="1:12" s="368" customFormat="1" ht="12.75" customHeight="1" x14ac:dyDescent="0.2">
      <c r="A62" s="318"/>
      <c r="B62" s="650"/>
      <c r="C62" s="658"/>
      <c r="D62" s="659" t="s">
        <v>502</v>
      </c>
      <c r="E62" s="629"/>
      <c r="F62" s="653">
        <v>-282.08</v>
      </c>
      <c r="G62" s="629"/>
      <c r="H62" s="636"/>
      <c r="I62" s="643"/>
    </row>
    <row r="63" spans="1:12" s="368" customFormat="1" ht="12.75" customHeight="1" x14ac:dyDescent="0.2">
      <c r="A63" s="318"/>
      <c r="B63" s="650"/>
      <c r="C63" s="658"/>
      <c r="D63" s="659" t="s">
        <v>503</v>
      </c>
      <c r="E63" s="629"/>
      <c r="F63" s="653">
        <v>-94.48</v>
      </c>
      <c r="G63" s="629"/>
      <c r="H63" s="636"/>
      <c r="I63" s="643"/>
    </row>
    <row r="64" spans="1:12" s="368" customFormat="1" ht="12.75" customHeight="1" x14ac:dyDescent="0.2">
      <c r="A64" s="318"/>
      <c r="B64" s="650"/>
      <c r="C64" s="658"/>
      <c r="D64" s="659" t="s">
        <v>504</v>
      </c>
      <c r="E64" s="629"/>
      <c r="F64" s="653">
        <v>-90</v>
      </c>
      <c r="G64" s="629"/>
      <c r="H64" s="636"/>
      <c r="I64" s="643"/>
    </row>
    <row r="65" spans="1:13" s="368" customFormat="1" ht="12.75" hidden="1" customHeight="1" x14ac:dyDescent="0.2">
      <c r="A65" s="318"/>
      <c r="B65" s="650"/>
      <c r="C65" s="660"/>
      <c r="D65" s="661" t="s">
        <v>515</v>
      </c>
      <c r="E65" s="629"/>
      <c r="F65" s="653"/>
      <c r="G65" s="629"/>
      <c r="H65" s="662"/>
      <c r="I65" s="643"/>
    </row>
    <row r="66" spans="1:13" s="368" customFormat="1" ht="12.75" hidden="1" customHeight="1" x14ac:dyDescent="0.2">
      <c r="A66" s="318"/>
      <c r="B66" s="650"/>
      <c r="C66" s="658"/>
      <c r="D66" s="661" t="s">
        <v>516</v>
      </c>
      <c r="E66" s="629"/>
      <c r="F66" s="653"/>
      <c r="G66" s="629"/>
      <c r="H66" s="636"/>
      <c r="I66" s="643"/>
    </row>
    <row r="67" spans="1:13" s="368" customFormat="1" ht="12.75" hidden="1" customHeight="1" x14ac:dyDescent="0.2">
      <c r="A67" s="318"/>
      <c r="B67" s="650"/>
      <c r="C67" s="658"/>
      <c r="D67" s="659" t="s">
        <v>516</v>
      </c>
      <c r="E67" s="629"/>
      <c r="F67" s="653"/>
      <c r="G67" s="629"/>
      <c r="H67" s="636"/>
      <c r="I67" s="643"/>
    </row>
    <row r="68" spans="1:13" s="368" customFormat="1" ht="12.75" hidden="1" customHeight="1" x14ac:dyDescent="0.2">
      <c r="A68" s="318"/>
      <c r="B68" s="650"/>
      <c r="C68" s="658"/>
      <c r="D68" s="659" t="s">
        <v>517</v>
      </c>
      <c r="E68" s="629"/>
      <c r="F68" s="653"/>
      <c r="G68" s="629"/>
      <c r="H68" s="636"/>
      <c r="I68" s="643"/>
    </row>
    <row r="69" spans="1:13" s="368" customFormat="1" ht="12.75" customHeight="1" x14ac:dyDescent="0.2">
      <c r="A69" s="618">
        <f>1+A53</f>
        <v>6</v>
      </c>
      <c r="B69" s="632" t="s">
        <v>220</v>
      </c>
      <c r="C69" s="633" t="s">
        <v>221</v>
      </c>
      <c r="D69" s="663" t="str">
        <f>$D$14</f>
        <v>FTE January 2026</v>
      </c>
      <c r="E69" s="622">
        <f>'2521'!$J$124</f>
        <v>109705.05</v>
      </c>
      <c r="F69" s="635"/>
      <c r="G69" s="622">
        <f>SUBTOTAL(109,E69:F75)</f>
        <v>109705.05</v>
      </c>
      <c r="H69" s="636"/>
      <c r="I69" s="643"/>
    </row>
    <row r="70" spans="1:13" s="368" customFormat="1" ht="12.75" hidden="1" customHeight="1" x14ac:dyDescent="0.2">
      <c r="A70" s="618"/>
      <c r="B70" s="632"/>
      <c r="C70" s="633"/>
      <c r="D70" s="637" t="s">
        <v>494</v>
      </c>
      <c r="E70" s="622"/>
      <c r="F70" s="635"/>
      <c r="G70" s="622"/>
      <c r="H70" s="636"/>
      <c r="I70" s="643"/>
    </row>
    <row r="71" spans="1:13" s="368" customFormat="1" ht="12.75" hidden="1" customHeight="1" x14ac:dyDescent="0.2">
      <c r="A71" s="618"/>
      <c r="B71" s="632"/>
      <c r="C71" s="633"/>
      <c r="D71" s="637" t="s">
        <v>496</v>
      </c>
      <c r="E71" s="622"/>
      <c r="F71" s="635"/>
      <c r="G71" s="622"/>
      <c r="H71" s="636"/>
      <c r="I71" s="643"/>
    </row>
    <row r="72" spans="1:13" s="368" customFormat="1" ht="12.75" hidden="1" customHeight="1" x14ac:dyDescent="0.2">
      <c r="A72" s="618"/>
      <c r="B72" s="632"/>
      <c r="C72" s="633"/>
      <c r="D72" s="637" t="s">
        <v>497</v>
      </c>
      <c r="E72" s="622"/>
      <c r="F72" s="635"/>
      <c r="G72" s="622"/>
      <c r="H72" s="636"/>
      <c r="I72" s="643"/>
    </row>
    <row r="73" spans="1:13" s="368" customFormat="1" ht="12.75" hidden="1" customHeight="1" x14ac:dyDescent="0.2">
      <c r="A73" s="618"/>
      <c r="B73" s="632"/>
      <c r="C73" s="633"/>
      <c r="D73" s="637" t="s">
        <v>498</v>
      </c>
      <c r="E73" s="622"/>
      <c r="F73" s="635"/>
      <c r="G73" s="622"/>
      <c r="H73" s="636"/>
      <c r="I73" s="643"/>
      <c r="M73" s="657"/>
    </row>
    <row r="74" spans="1:13" ht="12.75" hidden="1" customHeight="1" x14ac:dyDescent="0.2">
      <c r="A74" s="618"/>
      <c r="B74" s="632"/>
      <c r="C74" s="633"/>
      <c r="D74" s="637" t="s">
        <v>499</v>
      </c>
      <c r="E74" s="622"/>
      <c r="F74" s="635"/>
      <c r="G74" s="622"/>
      <c r="I74" s="643"/>
      <c r="M74" s="314"/>
    </row>
    <row r="75" spans="1:13" ht="12.75" hidden="1" customHeight="1" x14ac:dyDescent="0.2">
      <c r="A75" s="618"/>
      <c r="B75" s="632"/>
      <c r="C75" s="633"/>
      <c r="D75" s="644" t="s">
        <v>516</v>
      </c>
      <c r="E75" s="622"/>
      <c r="F75" s="635"/>
      <c r="G75" s="622"/>
      <c r="I75" s="643"/>
      <c r="L75" s="314"/>
    </row>
    <row r="76" spans="1:13" s="368" customFormat="1" ht="12.75" customHeight="1" x14ac:dyDescent="0.2">
      <c r="A76" s="318">
        <f>1+A69</f>
        <v>7</v>
      </c>
      <c r="B76" s="650">
        <v>2531</v>
      </c>
      <c r="C76" s="651" t="s">
        <v>223</v>
      </c>
      <c r="D76" s="652" t="str">
        <f>$D$14</f>
        <v>FTE January 2026</v>
      </c>
      <c r="E76" s="629">
        <f>'2531'!$J$124</f>
        <v>136859.32</v>
      </c>
      <c r="F76" s="653"/>
      <c r="G76" s="629">
        <f>SUBTOTAL(109,E76:F87)</f>
        <v>136859.32</v>
      </c>
      <c r="H76" s="662"/>
      <c r="I76" s="643"/>
    </row>
    <row r="77" spans="1:13" ht="12.75" hidden="1" customHeight="1" x14ac:dyDescent="0.2">
      <c r="A77" s="318"/>
      <c r="B77" s="650"/>
      <c r="C77" s="651"/>
      <c r="D77" s="311" t="s">
        <v>518</v>
      </c>
      <c r="E77" s="629"/>
      <c r="F77" s="653"/>
      <c r="G77" s="629"/>
      <c r="I77" s="643"/>
    </row>
    <row r="78" spans="1:13" ht="12.75" hidden="1" customHeight="1" x14ac:dyDescent="0.2">
      <c r="A78" s="318"/>
      <c r="B78" s="650"/>
      <c r="C78" s="651"/>
      <c r="D78" s="311" t="s">
        <v>494</v>
      </c>
      <c r="E78" s="629"/>
      <c r="F78" s="653"/>
      <c r="G78" s="629"/>
      <c r="I78" s="643"/>
    </row>
    <row r="79" spans="1:13" s="368" customFormat="1" ht="12.75" hidden="1" customHeight="1" x14ac:dyDescent="0.2">
      <c r="A79" s="318"/>
      <c r="B79" s="650"/>
      <c r="C79" s="651"/>
      <c r="D79" s="311" t="s">
        <v>519</v>
      </c>
      <c r="E79" s="629"/>
      <c r="F79" s="653"/>
      <c r="G79" s="629"/>
      <c r="H79" s="636"/>
      <c r="I79" s="648"/>
    </row>
    <row r="80" spans="1:13" s="368" customFormat="1" ht="12.75" hidden="1" customHeight="1" x14ac:dyDescent="0.2">
      <c r="A80" s="318"/>
      <c r="B80" s="650"/>
      <c r="C80" s="651"/>
      <c r="D80" s="655" t="s">
        <v>514</v>
      </c>
      <c r="E80" s="629"/>
      <c r="F80" s="653"/>
      <c r="G80" s="629"/>
      <c r="H80" s="636"/>
      <c r="I80" s="650"/>
    </row>
    <row r="81" spans="1:9" s="368" customFormat="1" ht="12.75" hidden="1" customHeight="1" x14ac:dyDescent="0.2">
      <c r="A81" s="318"/>
      <c r="B81" s="650"/>
      <c r="C81" s="651"/>
      <c r="D81" s="311" t="s">
        <v>496</v>
      </c>
      <c r="E81" s="629"/>
      <c r="F81" s="653"/>
      <c r="G81" s="629"/>
      <c r="H81" s="636"/>
      <c r="I81" s="650"/>
    </row>
    <row r="82" spans="1:9" s="368" customFormat="1" ht="12.75" hidden="1" customHeight="1" x14ac:dyDescent="0.2">
      <c r="A82" s="318"/>
      <c r="B82" s="650"/>
      <c r="C82" s="651"/>
      <c r="D82" s="311" t="s">
        <v>497</v>
      </c>
      <c r="E82" s="629"/>
      <c r="F82" s="653"/>
      <c r="G82" s="629"/>
      <c r="H82" s="636"/>
      <c r="I82" s="650"/>
    </row>
    <row r="83" spans="1:9" s="368" customFormat="1" ht="12.75" hidden="1" customHeight="1" x14ac:dyDescent="0.2">
      <c r="A83" s="318"/>
      <c r="B83" s="650"/>
      <c r="C83" s="651"/>
      <c r="D83" s="311" t="s">
        <v>498</v>
      </c>
      <c r="E83" s="629"/>
      <c r="F83" s="653"/>
      <c r="G83" s="629"/>
      <c r="H83" s="662"/>
      <c r="I83" s="648"/>
    </row>
    <row r="84" spans="1:9" s="368" customFormat="1" ht="12.75" hidden="1" customHeight="1" x14ac:dyDescent="0.2">
      <c r="A84" s="318"/>
      <c r="B84" s="650"/>
      <c r="C84" s="651"/>
      <c r="D84" s="311" t="s">
        <v>499</v>
      </c>
      <c r="E84" s="629"/>
      <c r="F84" s="653"/>
      <c r="G84" s="629"/>
      <c r="H84" s="636"/>
      <c r="I84" s="648"/>
    </row>
    <row r="85" spans="1:9" s="368" customFormat="1" ht="12.75" hidden="1" customHeight="1" x14ac:dyDescent="0.2">
      <c r="A85" s="318"/>
      <c r="B85" s="650"/>
      <c r="C85" s="651"/>
      <c r="D85" s="311" t="s">
        <v>520</v>
      </c>
      <c r="E85" s="629"/>
      <c r="F85" s="653"/>
      <c r="G85" s="629"/>
      <c r="H85" s="636"/>
      <c r="I85" s="648"/>
    </row>
    <row r="86" spans="1:9" s="368" customFormat="1" ht="12.75" hidden="1" customHeight="1" x14ac:dyDescent="0.2">
      <c r="A86" s="318"/>
      <c r="B86" s="650"/>
      <c r="C86" s="658"/>
      <c r="D86" s="661" t="s">
        <v>507</v>
      </c>
      <c r="E86" s="629"/>
      <c r="F86" s="653"/>
      <c r="G86" s="629"/>
      <c r="H86" s="636"/>
      <c r="I86" s="643"/>
    </row>
    <row r="87" spans="1:9" s="368" customFormat="1" ht="12.75" hidden="1" customHeight="1" x14ac:dyDescent="0.2">
      <c r="A87" s="318"/>
      <c r="B87" s="650"/>
      <c r="C87" s="651"/>
      <c r="D87" s="659" t="s">
        <v>516</v>
      </c>
      <c r="E87" s="629"/>
      <c r="F87" s="653"/>
      <c r="G87" s="629"/>
      <c r="H87" s="636"/>
      <c r="I87" s="658"/>
    </row>
    <row r="88" spans="1:9" s="368" customFormat="1" ht="12.75" customHeight="1" x14ac:dyDescent="0.2">
      <c r="A88" s="618">
        <f>1+A76</f>
        <v>8</v>
      </c>
      <c r="B88" s="632" t="s">
        <v>224</v>
      </c>
      <c r="C88" s="664" t="s">
        <v>306</v>
      </c>
      <c r="D88" s="663" t="str">
        <f>$D$14</f>
        <v>FTE January 2026</v>
      </c>
      <c r="E88" s="622">
        <f>'2791'!$J$124</f>
        <v>455853.95</v>
      </c>
      <c r="F88" s="635"/>
      <c r="G88" s="622">
        <f>SUBTOTAL(109,E88:F95)</f>
        <v>455853.95</v>
      </c>
      <c r="H88" s="662"/>
      <c r="I88" s="645"/>
    </row>
    <row r="89" spans="1:9" s="368" customFormat="1" ht="12.75" hidden="1" customHeight="1" x14ac:dyDescent="0.2">
      <c r="A89" s="618"/>
      <c r="B89" s="632"/>
      <c r="C89" s="633"/>
      <c r="D89" s="637" t="s">
        <v>494</v>
      </c>
      <c r="E89" s="622"/>
      <c r="F89" s="635"/>
      <c r="G89" s="622"/>
      <c r="H89" s="636"/>
      <c r="I89" s="658"/>
    </row>
    <row r="90" spans="1:9" s="368" customFormat="1" ht="12.75" hidden="1" customHeight="1" x14ac:dyDescent="0.2">
      <c r="A90" s="618"/>
      <c r="B90" s="632"/>
      <c r="C90" s="633"/>
      <c r="D90" s="638" t="s">
        <v>495</v>
      </c>
      <c r="E90" s="622"/>
      <c r="F90" s="635"/>
      <c r="G90" s="622"/>
      <c r="H90" s="636"/>
      <c r="I90" s="658"/>
    </row>
    <row r="91" spans="1:9" s="368" customFormat="1" ht="12.75" hidden="1" customHeight="1" x14ac:dyDescent="0.2">
      <c r="A91" s="618"/>
      <c r="B91" s="632"/>
      <c r="C91" s="633"/>
      <c r="D91" s="637" t="s">
        <v>496</v>
      </c>
      <c r="E91" s="622"/>
      <c r="F91" s="635"/>
      <c r="G91" s="622"/>
      <c r="H91" s="636"/>
      <c r="I91" s="658"/>
    </row>
    <row r="92" spans="1:9" s="368" customFormat="1" ht="12.75" hidden="1" customHeight="1" x14ac:dyDescent="0.2">
      <c r="A92" s="618"/>
      <c r="B92" s="632"/>
      <c r="C92" s="633"/>
      <c r="D92" s="637" t="s">
        <v>497</v>
      </c>
      <c r="E92" s="622"/>
      <c r="F92" s="635"/>
      <c r="G92" s="622"/>
      <c r="H92" s="636"/>
      <c r="I92" s="658"/>
    </row>
    <row r="93" spans="1:9" s="368" customFormat="1" ht="12.75" hidden="1" customHeight="1" x14ac:dyDescent="0.2">
      <c r="A93" s="618"/>
      <c r="B93" s="632"/>
      <c r="C93" s="633"/>
      <c r="D93" s="637"/>
      <c r="E93" s="622"/>
      <c r="F93" s="635"/>
      <c r="G93" s="622"/>
      <c r="H93" s="636"/>
      <c r="I93" s="643"/>
    </row>
    <row r="94" spans="1:9" s="368" customFormat="1" ht="12.75" hidden="1" customHeight="1" x14ac:dyDescent="0.2">
      <c r="A94" s="618"/>
      <c r="B94" s="632"/>
      <c r="C94" s="633"/>
      <c r="D94" s="637" t="s">
        <v>499</v>
      </c>
      <c r="E94" s="622"/>
      <c r="F94" s="635"/>
      <c r="G94" s="622"/>
      <c r="H94" s="636"/>
      <c r="I94" s="643"/>
    </row>
    <row r="95" spans="1:9" s="368" customFormat="1" ht="12.75" hidden="1" customHeight="1" x14ac:dyDescent="0.2">
      <c r="A95" s="618"/>
      <c r="B95" s="632"/>
      <c r="C95" s="633"/>
      <c r="D95" s="644" t="s">
        <v>516</v>
      </c>
      <c r="E95" s="622"/>
      <c r="F95" s="635"/>
      <c r="G95" s="622"/>
      <c r="H95" s="636"/>
      <c r="I95" s="643"/>
    </row>
    <row r="96" spans="1:9" s="368" customFormat="1" ht="12.75" customHeight="1" x14ac:dyDescent="0.2">
      <c r="A96" s="318">
        <f>A88+1</f>
        <v>9</v>
      </c>
      <c r="B96" s="650" t="s">
        <v>226</v>
      </c>
      <c r="C96" s="665" t="s">
        <v>227</v>
      </c>
      <c r="D96" s="652" t="str">
        <f>$D$14</f>
        <v>FTE January 2026</v>
      </c>
      <c r="E96" s="629">
        <f>'2801'!$J$124</f>
        <v>441316.79</v>
      </c>
      <c r="F96" s="653"/>
      <c r="G96" s="629">
        <f>SUBTOTAL(109,E96:F105)</f>
        <v>441316.79</v>
      </c>
      <c r="H96" s="662"/>
      <c r="I96" s="645"/>
    </row>
    <row r="97" spans="1:9" s="368" customFormat="1" ht="12.75" hidden="1" customHeight="1" x14ac:dyDescent="0.2">
      <c r="A97" s="318"/>
      <c r="B97" s="650"/>
      <c r="C97" s="651"/>
      <c r="D97" s="311" t="s">
        <v>518</v>
      </c>
      <c r="E97" s="629"/>
      <c r="F97" s="653"/>
      <c r="G97" s="629"/>
      <c r="H97" s="636"/>
      <c r="I97" s="643"/>
    </row>
    <row r="98" spans="1:9" s="368" customFormat="1" ht="12.75" hidden="1" customHeight="1" x14ac:dyDescent="0.2">
      <c r="A98" s="318"/>
      <c r="B98" s="650"/>
      <c r="C98" s="651"/>
      <c r="D98" s="655" t="s">
        <v>495</v>
      </c>
      <c r="E98" s="629"/>
      <c r="F98" s="653"/>
      <c r="G98" s="629"/>
      <c r="H98" s="662"/>
      <c r="I98" s="648"/>
    </row>
    <row r="99" spans="1:9" s="368" customFormat="1" ht="12.75" hidden="1" customHeight="1" x14ac:dyDescent="0.2">
      <c r="A99" s="318"/>
      <c r="B99" s="650"/>
      <c r="C99" s="651"/>
      <c r="D99" s="311" t="s">
        <v>496</v>
      </c>
      <c r="E99" s="629"/>
      <c r="F99" s="653"/>
      <c r="G99" s="629"/>
      <c r="H99" s="662"/>
      <c r="I99" s="650"/>
    </row>
    <row r="100" spans="1:9" s="368" customFormat="1" ht="12.75" hidden="1" customHeight="1" x14ac:dyDescent="0.2">
      <c r="A100" s="318"/>
      <c r="B100" s="650"/>
      <c r="C100" s="651"/>
      <c r="D100" s="311" t="s">
        <v>521</v>
      </c>
      <c r="E100" s="629"/>
      <c r="F100" s="653"/>
      <c r="G100" s="629"/>
      <c r="H100" s="636"/>
      <c r="I100" s="658"/>
    </row>
    <row r="101" spans="1:9" s="368" customFormat="1" ht="12.75" hidden="1" customHeight="1" x14ac:dyDescent="0.2">
      <c r="A101" s="318"/>
      <c r="B101" s="650"/>
      <c r="C101" s="651"/>
      <c r="D101" s="311" t="s">
        <v>498</v>
      </c>
      <c r="E101" s="629"/>
      <c r="F101" s="653"/>
      <c r="G101" s="629"/>
      <c r="H101" s="662"/>
      <c r="I101" s="650"/>
    </row>
    <row r="102" spans="1:9" s="368" customFormat="1" ht="12.75" hidden="1" customHeight="1" x14ac:dyDescent="0.2">
      <c r="A102" s="318"/>
      <c r="B102" s="650"/>
      <c r="C102" s="651"/>
      <c r="D102" s="311" t="s">
        <v>499</v>
      </c>
      <c r="E102" s="629"/>
      <c r="F102" s="653"/>
      <c r="G102" s="629"/>
      <c r="H102" s="662"/>
      <c r="I102" s="650"/>
    </row>
    <row r="103" spans="1:9" s="368" customFormat="1" ht="12.75" hidden="1" customHeight="1" x14ac:dyDescent="0.2">
      <c r="A103" s="318"/>
      <c r="B103" s="650"/>
      <c r="C103" s="651"/>
      <c r="D103" s="311" t="s">
        <v>522</v>
      </c>
      <c r="E103" s="629"/>
      <c r="F103" s="653"/>
      <c r="G103" s="629"/>
      <c r="H103" s="662"/>
      <c r="I103" s="648"/>
    </row>
    <row r="104" spans="1:9" s="368" customFormat="1" ht="12.75" hidden="1" customHeight="1" x14ac:dyDescent="0.2">
      <c r="A104" s="318"/>
      <c r="B104" s="650"/>
      <c r="C104" s="651"/>
      <c r="D104" s="311" t="s">
        <v>520</v>
      </c>
      <c r="E104" s="629"/>
      <c r="F104" s="653"/>
      <c r="G104" s="629"/>
      <c r="H104" s="636"/>
      <c r="I104" s="648"/>
    </row>
    <row r="105" spans="1:9" s="368" customFormat="1" ht="12.75" hidden="1" customHeight="1" x14ac:dyDescent="0.2">
      <c r="A105" s="318"/>
      <c r="B105" s="650"/>
      <c r="C105" s="651"/>
      <c r="D105" s="659" t="s">
        <v>523</v>
      </c>
      <c r="E105" s="629"/>
      <c r="F105" s="653"/>
      <c r="G105" s="629"/>
      <c r="H105" s="636"/>
      <c r="I105" s="648"/>
    </row>
    <row r="106" spans="1:9" s="368" customFormat="1" ht="12.75" customHeight="1" x14ac:dyDescent="0.2">
      <c r="A106" s="618">
        <f>A96+1</f>
        <v>10</v>
      </c>
      <c r="B106" s="632" t="s">
        <v>228</v>
      </c>
      <c r="C106" s="633" t="s">
        <v>229</v>
      </c>
      <c r="D106" s="663" t="str">
        <f>$D$14</f>
        <v>FTE January 2026</v>
      </c>
      <c r="E106" s="622">
        <f>'2911'!$J$124</f>
        <v>511868.9</v>
      </c>
      <c r="F106" s="635"/>
      <c r="G106" s="622">
        <f>SUBTOTAL(109,E106:F116)</f>
        <v>511868.9</v>
      </c>
      <c r="H106" s="662"/>
      <c r="I106" s="650"/>
    </row>
    <row r="107" spans="1:9" s="368" customFormat="1" ht="12.75" hidden="1" customHeight="1" x14ac:dyDescent="0.2">
      <c r="A107" s="618"/>
      <c r="B107" s="632"/>
      <c r="C107" s="633"/>
      <c r="D107" s="637" t="s">
        <v>494</v>
      </c>
      <c r="E107" s="622"/>
      <c r="F107" s="635"/>
      <c r="G107" s="622"/>
      <c r="H107" s="662"/>
      <c r="I107" s="650"/>
    </row>
    <row r="108" spans="1:9" s="368" customFormat="1" ht="12.75" hidden="1" customHeight="1" x14ac:dyDescent="0.2">
      <c r="A108" s="618"/>
      <c r="B108" s="632"/>
      <c r="C108" s="633"/>
      <c r="D108" s="638" t="s">
        <v>514</v>
      </c>
      <c r="E108" s="622"/>
      <c r="F108" s="635"/>
      <c r="G108" s="622"/>
      <c r="H108" s="636"/>
      <c r="I108" s="658"/>
    </row>
    <row r="109" spans="1:9" s="368" customFormat="1" ht="12.75" hidden="1" customHeight="1" x14ac:dyDescent="0.2">
      <c r="A109" s="618"/>
      <c r="B109" s="632"/>
      <c r="C109" s="633"/>
      <c r="D109" s="637" t="s">
        <v>496</v>
      </c>
      <c r="E109" s="622"/>
      <c r="F109" s="635"/>
      <c r="G109" s="622"/>
      <c r="H109" s="662"/>
      <c r="I109" s="650"/>
    </row>
    <row r="110" spans="1:9" s="368" customFormat="1" ht="12.75" hidden="1" customHeight="1" x14ac:dyDescent="0.2">
      <c r="A110" s="618"/>
      <c r="B110" s="632"/>
      <c r="C110" s="633"/>
      <c r="D110" s="637" t="s">
        <v>497</v>
      </c>
      <c r="E110" s="622"/>
      <c r="F110" s="635"/>
      <c r="G110" s="622"/>
      <c r="H110" s="662"/>
      <c r="I110" s="650"/>
    </row>
    <row r="111" spans="1:9" s="368" customFormat="1" ht="12.75" hidden="1" customHeight="1" x14ac:dyDescent="0.2">
      <c r="A111" s="618"/>
      <c r="B111" s="632"/>
      <c r="C111" s="633"/>
      <c r="D111" s="637" t="s">
        <v>498</v>
      </c>
      <c r="E111" s="622"/>
      <c r="F111" s="635"/>
      <c r="G111" s="622"/>
      <c r="H111" s="662"/>
      <c r="I111" s="650"/>
    </row>
    <row r="112" spans="1:9" s="368" customFormat="1" ht="12.75" hidden="1" customHeight="1" x14ac:dyDescent="0.2">
      <c r="A112" s="618"/>
      <c r="B112" s="632"/>
      <c r="C112" s="633"/>
      <c r="D112" s="637" t="s">
        <v>499</v>
      </c>
      <c r="E112" s="622"/>
      <c r="F112" s="635"/>
      <c r="G112" s="622"/>
      <c r="H112" s="636"/>
      <c r="I112" s="647"/>
    </row>
    <row r="113" spans="1:12" s="368" customFormat="1" ht="12.75" hidden="1" customHeight="1" x14ac:dyDescent="0.2">
      <c r="A113" s="618"/>
      <c r="B113" s="632"/>
      <c r="C113" s="633"/>
      <c r="D113" s="637" t="s">
        <v>522</v>
      </c>
      <c r="E113" s="622"/>
      <c r="F113" s="635"/>
      <c r="G113" s="622"/>
      <c r="H113" s="662"/>
    </row>
    <row r="114" spans="1:12" s="368" customFormat="1" ht="12.75" hidden="1" customHeight="1" x14ac:dyDescent="0.2">
      <c r="A114" s="618"/>
      <c r="B114" s="632"/>
      <c r="C114" s="640"/>
      <c r="D114" s="644" t="s">
        <v>524</v>
      </c>
      <c r="E114" s="622"/>
      <c r="F114" s="635"/>
      <c r="G114" s="622"/>
      <c r="H114" s="662"/>
      <c r="I114" s="650"/>
    </row>
    <row r="115" spans="1:12" s="368" customFormat="1" ht="12.75" hidden="1" customHeight="1" x14ac:dyDescent="0.2">
      <c r="A115" s="618"/>
      <c r="B115" s="632"/>
      <c r="C115" s="640"/>
      <c r="D115" s="644" t="s">
        <v>516</v>
      </c>
      <c r="E115" s="622"/>
      <c r="F115" s="635"/>
      <c r="G115" s="622"/>
      <c r="H115" s="662"/>
      <c r="I115" s="648"/>
    </row>
    <row r="116" spans="1:12" s="368" customFormat="1" ht="12.75" hidden="1" customHeight="1" x14ac:dyDescent="0.2">
      <c r="A116" s="618"/>
      <c r="B116" s="632"/>
      <c r="C116" s="640"/>
      <c r="D116" s="666"/>
      <c r="E116" s="622"/>
      <c r="F116" s="635"/>
      <c r="G116" s="622"/>
      <c r="H116" s="662"/>
      <c r="I116" s="648"/>
    </row>
    <row r="117" spans="1:12" s="368" customFormat="1" ht="12.75" customHeight="1" x14ac:dyDescent="0.2">
      <c r="A117" s="318">
        <f>A106+1</f>
        <v>11</v>
      </c>
      <c r="B117" s="650" t="s">
        <v>230</v>
      </c>
      <c r="C117" s="651" t="s">
        <v>231</v>
      </c>
      <c r="D117" s="652" t="str">
        <f>$D$14</f>
        <v>FTE January 2026</v>
      </c>
      <c r="E117" s="629">
        <f>'2941'!$J$124</f>
        <v>892467.27</v>
      </c>
      <c r="F117" s="653"/>
      <c r="G117" s="629">
        <f>SUBTOTAL(109,E117:F125)</f>
        <v>892467.27</v>
      </c>
      <c r="H117" s="662"/>
      <c r="I117" s="650"/>
    </row>
    <row r="118" spans="1:12" s="368" customFormat="1" ht="12.75" hidden="1" customHeight="1" x14ac:dyDescent="0.2">
      <c r="A118" s="318"/>
      <c r="B118" s="650"/>
      <c r="C118" s="651"/>
      <c r="D118" s="311" t="s">
        <v>518</v>
      </c>
      <c r="E118" s="629"/>
      <c r="F118" s="653"/>
      <c r="G118" s="629"/>
      <c r="H118" s="662"/>
      <c r="I118" s="650"/>
    </row>
    <row r="119" spans="1:12" s="368" customFormat="1" ht="12.75" hidden="1" customHeight="1" x14ac:dyDescent="0.2">
      <c r="A119" s="318"/>
      <c r="B119" s="650"/>
      <c r="C119" s="651"/>
      <c r="D119" s="655" t="s">
        <v>495</v>
      </c>
      <c r="E119" s="629"/>
      <c r="F119" s="653"/>
      <c r="G119" s="629"/>
      <c r="H119" s="636"/>
      <c r="I119" s="658"/>
    </row>
    <row r="120" spans="1:12" s="368" customFormat="1" ht="12.75" hidden="1" customHeight="1" x14ac:dyDescent="0.2">
      <c r="A120" s="318"/>
      <c r="B120" s="650"/>
      <c r="C120" s="651"/>
      <c r="D120" s="311" t="s">
        <v>496</v>
      </c>
      <c r="E120" s="629"/>
      <c r="F120" s="653"/>
      <c r="G120" s="629"/>
      <c r="H120" s="662"/>
      <c r="I120" s="650"/>
    </row>
    <row r="121" spans="1:12" s="368" customFormat="1" ht="12.75" hidden="1" customHeight="1" x14ac:dyDescent="0.2">
      <c r="A121" s="318"/>
      <c r="B121" s="650"/>
      <c r="C121" s="651"/>
      <c r="D121" s="311" t="s">
        <v>497</v>
      </c>
      <c r="E121" s="629"/>
      <c r="F121" s="653"/>
      <c r="G121" s="629"/>
      <c r="H121" s="662"/>
      <c r="I121" s="650"/>
    </row>
    <row r="122" spans="1:12" s="368" customFormat="1" ht="12.75" hidden="1" customHeight="1" x14ac:dyDescent="0.2">
      <c r="A122" s="318"/>
      <c r="B122" s="650"/>
      <c r="C122" s="651"/>
      <c r="D122" s="311" t="s">
        <v>498</v>
      </c>
      <c r="E122" s="629"/>
      <c r="F122" s="653"/>
      <c r="G122" s="629"/>
      <c r="H122" s="662"/>
      <c r="I122" s="650"/>
    </row>
    <row r="123" spans="1:12" s="368" customFormat="1" ht="12.75" hidden="1" customHeight="1" x14ac:dyDescent="0.2">
      <c r="A123" s="318"/>
      <c r="B123" s="650"/>
      <c r="C123" s="651"/>
      <c r="D123" s="655" t="s">
        <v>525</v>
      </c>
      <c r="E123" s="629"/>
      <c r="F123" s="653"/>
      <c r="G123" s="629"/>
      <c r="H123" s="636"/>
      <c r="I123" s="647"/>
    </row>
    <row r="124" spans="1:12" s="368" customFormat="1" ht="12.75" hidden="1" customHeight="1" x14ac:dyDescent="0.2">
      <c r="A124" s="318"/>
      <c r="B124" s="650"/>
      <c r="C124" s="651"/>
      <c r="D124" s="311" t="s">
        <v>520</v>
      </c>
      <c r="E124" s="629"/>
      <c r="F124" s="653"/>
      <c r="G124" s="629"/>
      <c r="H124" s="662"/>
      <c r="I124" s="648"/>
    </row>
    <row r="125" spans="1:12" s="368" customFormat="1" ht="12.75" hidden="1" customHeight="1" x14ac:dyDescent="0.2">
      <c r="A125" s="318"/>
      <c r="B125" s="650"/>
      <c r="C125" s="651"/>
      <c r="D125" s="659"/>
      <c r="E125" s="629"/>
      <c r="F125" s="653"/>
      <c r="G125" s="629"/>
      <c r="H125" s="636"/>
      <c r="I125" s="648"/>
      <c r="J125" s="661"/>
      <c r="K125" s="629"/>
      <c r="L125" s="656"/>
    </row>
    <row r="126" spans="1:12" s="368" customFormat="1" ht="12.75" customHeight="1" x14ac:dyDescent="0.2">
      <c r="A126" s="618">
        <f>A117+1</f>
        <v>12</v>
      </c>
      <c r="B126" s="632" t="s">
        <v>232</v>
      </c>
      <c r="C126" s="664" t="s">
        <v>311</v>
      </c>
      <c r="D126" s="663" t="str">
        <f>$D$14</f>
        <v>FTE January 2026</v>
      </c>
      <c r="E126" s="622">
        <f>'3083'!$J$124</f>
        <v>505938.1</v>
      </c>
      <c r="F126" s="635"/>
      <c r="G126" s="622">
        <f>SUBTOTAL(109,E126:F133)</f>
        <v>505938.1</v>
      </c>
      <c r="H126" s="636"/>
      <c r="I126" s="648"/>
      <c r="J126" s="661"/>
      <c r="K126" s="629"/>
      <c r="L126" s="656"/>
    </row>
    <row r="127" spans="1:12" s="368" customFormat="1" ht="12.75" hidden="1" customHeight="1" x14ac:dyDescent="0.2">
      <c r="A127" s="618"/>
      <c r="B127" s="632"/>
      <c r="C127" s="633"/>
      <c r="D127" s="637" t="s">
        <v>525</v>
      </c>
      <c r="E127" s="622"/>
      <c r="F127" s="635"/>
      <c r="G127" s="622"/>
      <c r="H127" s="662"/>
      <c r="I127" s="650"/>
    </row>
    <row r="128" spans="1:12" s="368" customFormat="1" ht="12.75" hidden="1" customHeight="1" x14ac:dyDescent="0.2">
      <c r="A128" s="618"/>
      <c r="B128" s="632"/>
      <c r="C128" s="633"/>
      <c r="D128" s="638" t="s">
        <v>495</v>
      </c>
      <c r="E128" s="622"/>
      <c r="F128" s="635"/>
      <c r="G128" s="622"/>
      <c r="H128" s="662"/>
      <c r="I128" s="650"/>
    </row>
    <row r="129" spans="1:9" s="368" customFormat="1" ht="12.75" hidden="1" customHeight="1" x14ac:dyDescent="0.2">
      <c r="A129" s="618"/>
      <c r="B129" s="632"/>
      <c r="C129" s="633"/>
      <c r="D129" s="637" t="s">
        <v>496</v>
      </c>
      <c r="E129" s="622"/>
      <c r="F129" s="635"/>
      <c r="G129" s="622"/>
      <c r="H129" s="636"/>
      <c r="I129" s="658"/>
    </row>
    <row r="130" spans="1:9" s="368" customFormat="1" ht="12.75" hidden="1" customHeight="1" x14ac:dyDescent="0.2">
      <c r="A130" s="618"/>
      <c r="B130" s="632"/>
      <c r="C130" s="633"/>
      <c r="D130" s="637" t="s">
        <v>497</v>
      </c>
      <c r="E130" s="622"/>
      <c r="F130" s="635"/>
      <c r="G130" s="622"/>
      <c r="H130" s="662"/>
      <c r="I130" s="650"/>
    </row>
    <row r="131" spans="1:9" s="368" customFormat="1" ht="12.75" hidden="1" customHeight="1" x14ac:dyDescent="0.2">
      <c r="A131" s="618"/>
      <c r="B131" s="632"/>
      <c r="C131" s="633"/>
      <c r="D131" s="666" t="s">
        <v>498</v>
      </c>
      <c r="E131" s="622"/>
      <c r="F131" s="635"/>
      <c r="G131" s="622"/>
      <c r="H131" s="662"/>
      <c r="I131" s="650"/>
    </row>
    <row r="132" spans="1:9" s="368" customFormat="1" ht="12.75" hidden="1" customHeight="1" x14ac:dyDescent="0.2">
      <c r="A132" s="618"/>
      <c r="B132" s="632"/>
      <c r="C132" s="633"/>
      <c r="D132" s="637" t="s">
        <v>499</v>
      </c>
      <c r="E132" s="622"/>
      <c r="F132" s="635"/>
      <c r="G132" s="622"/>
      <c r="H132" s="662"/>
      <c r="I132" s="650"/>
    </row>
    <row r="133" spans="1:9" s="368" customFormat="1" ht="12.75" hidden="1" customHeight="1" x14ac:dyDescent="0.2">
      <c r="A133" s="618"/>
      <c r="B133" s="632"/>
      <c r="C133" s="633"/>
      <c r="D133" s="637" t="s">
        <v>494</v>
      </c>
      <c r="E133" s="622"/>
      <c r="F133" s="635"/>
      <c r="G133" s="622"/>
      <c r="H133" s="636"/>
      <c r="I133" s="647"/>
    </row>
    <row r="134" spans="1:9" s="368" customFormat="1" ht="12.75" customHeight="1" x14ac:dyDescent="0.2">
      <c r="A134" s="318">
        <f>A126+1</f>
        <v>13</v>
      </c>
      <c r="B134" s="650" t="s">
        <v>234</v>
      </c>
      <c r="C134" s="665" t="s">
        <v>235</v>
      </c>
      <c r="D134" s="652" t="str">
        <f>$D$14</f>
        <v>FTE January 2026</v>
      </c>
      <c r="E134" s="629">
        <f>'3345'!$J$124</f>
        <v>93541.68</v>
      </c>
      <c r="F134" s="653"/>
      <c r="G134" s="629">
        <f>SUBTOTAL(109,E134:F140)</f>
        <v>93541.68</v>
      </c>
      <c r="H134" s="636"/>
      <c r="I134" s="647"/>
    </row>
    <row r="135" spans="1:9" s="368" customFormat="1" ht="12.75" hidden="1" customHeight="1" x14ac:dyDescent="0.2">
      <c r="A135" s="318"/>
      <c r="B135" s="650"/>
      <c r="C135" s="665"/>
      <c r="D135" s="311" t="s">
        <v>518</v>
      </c>
      <c r="E135" s="629"/>
      <c r="F135" s="653"/>
      <c r="G135" s="629"/>
      <c r="H135" s="636"/>
      <c r="I135" s="647"/>
    </row>
    <row r="136" spans="1:9" s="368" customFormat="1" ht="12.75" hidden="1" customHeight="1" x14ac:dyDescent="0.2">
      <c r="A136" s="318"/>
      <c r="B136" s="650"/>
      <c r="C136" s="665"/>
      <c r="D136" s="311" t="s">
        <v>495</v>
      </c>
      <c r="E136" s="629"/>
      <c r="F136" s="653"/>
      <c r="G136" s="629"/>
      <c r="H136" s="662"/>
      <c r="I136" s="650"/>
    </row>
    <row r="137" spans="1:9" s="368" customFormat="1" ht="12.75" hidden="1" customHeight="1" x14ac:dyDescent="0.2">
      <c r="A137" s="318"/>
      <c r="B137" s="650"/>
      <c r="C137" s="651"/>
      <c r="D137" s="311" t="s">
        <v>497</v>
      </c>
      <c r="E137" s="629"/>
      <c r="F137" s="653"/>
      <c r="G137" s="629"/>
      <c r="H137" s="662"/>
      <c r="I137" s="650"/>
    </row>
    <row r="138" spans="1:9" s="368" customFormat="1" ht="12.75" hidden="1" customHeight="1" x14ac:dyDescent="0.2">
      <c r="A138" s="318"/>
      <c r="B138" s="650"/>
      <c r="C138" s="651"/>
      <c r="D138" s="311" t="s">
        <v>498</v>
      </c>
      <c r="E138" s="629"/>
      <c r="F138" s="653"/>
      <c r="G138" s="629"/>
      <c r="H138" s="636"/>
      <c r="I138" s="658"/>
    </row>
    <row r="139" spans="1:9" s="368" customFormat="1" ht="12.75" hidden="1" customHeight="1" x14ac:dyDescent="0.2">
      <c r="A139" s="318"/>
      <c r="B139" s="650"/>
      <c r="C139" s="651"/>
      <c r="D139" s="311" t="s">
        <v>499</v>
      </c>
      <c r="E139" s="629"/>
      <c r="F139" s="653"/>
      <c r="G139" s="629"/>
      <c r="H139" s="662"/>
      <c r="I139" s="650"/>
    </row>
    <row r="140" spans="1:9" s="368" customFormat="1" ht="12.75" hidden="1" customHeight="1" x14ac:dyDescent="0.2">
      <c r="A140" s="318"/>
      <c r="B140" s="650"/>
      <c r="C140" s="651"/>
      <c r="D140" s="659" t="s">
        <v>516</v>
      </c>
      <c r="E140" s="629"/>
      <c r="F140" s="653"/>
      <c r="G140" s="629"/>
      <c r="H140" s="662"/>
      <c r="I140" s="650"/>
    </row>
    <row r="141" spans="1:9" s="368" customFormat="1" ht="12.75" customHeight="1" x14ac:dyDescent="0.2">
      <c r="A141" s="618">
        <v>14</v>
      </c>
      <c r="B141" s="632">
        <v>3362</v>
      </c>
      <c r="C141" s="633" t="s">
        <v>314</v>
      </c>
      <c r="D141" s="663" t="str">
        <f>$D$14</f>
        <v>FTE January 2026</v>
      </c>
      <c r="E141" s="622">
        <f>'3362'!$J$124</f>
        <v>152593</v>
      </c>
      <c r="F141" s="635"/>
      <c r="G141" s="622">
        <f>SUBTOTAL(109,E141:F141)</f>
        <v>152593</v>
      </c>
      <c r="H141" s="636"/>
      <c r="I141" s="647"/>
    </row>
    <row r="142" spans="1:9" s="368" customFormat="1" ht="12.75" customHeight="1" x14ac:dyDescent="0.2">
      <c r="A142" s="618">
        <v>15</v>
      </c>
      <c r="B142" s="632" t="s">
        <v>236</v>
      </c>
      <c r="C142" s="633" t="s">
        <v>237</v>
      </c>
      <c r="D142" s="663" t="str">
        <f>$D$14</f>
        <v>FTE January 2026</v>
      </c>
      <c r="E142" s="622">
        <f>'3381'!$J$124</f>
        <v>765891.07</v>
      </c>
      <c r="F142" s="635"/>
      <c r="G142" s="622">
        <f>SUBTOTAL(109,E142:F150)</f>
        <v>765891.07</v>
      </c>
      <c r="H142" s="662"/>
      <c r="I142" s="650"/>
    </row>
    <row r="143" spans="1:9" s="368" customFormat="1" ht="12.75" hidden="1" customHeight="1" x14ac:dyDescent="0.2">
      <c r="A143" s="618"/>
      <c r="B143" s="632"/>
      <c r="C143" s="633"/>
      <c r="D143" s="637" t="s">
        <v>494</v>
      </c>
      <c r="E143" s="622"/>
      <c r="F143" s="635"/>
      <c r="G143" s="622"/>
      <c r="H143" s="636"/>
      <c r="I143" s="647"/>
    </row>
    <row r="144" spans="1:9" ht="12.75" hidden="1" customHeight="1" x14ac:dyDescent="0.2">
      <c r="A144" s="618"/>
      <c r="B144" s="632"/>
      <c r="C144" s="633"/>
      <c r="D144" s="638" t="s">
        <v>495</v>
      </c>
      <c r="E144" s="622"/>
      <c r="F144" s="635"/>
      <c r="G144" s="622"/>
      <c r="H144" s="667"/>
      <c r="I144" s="650"/>
    </row>
    <row r="145" spans="1:9" s="368" customFormat="1" ht="12.75" hidden="1" customHeight="1" x14ac:dyDescent="0.2">
      <c r="A145" s="618"/>
      <c r="B145" s="632"/>
      <c r="C145" s="633"/>
      <c r="D145" s="637" t="s">
        <v>496</v>
      </c>
      <c r="E145" s="622"/>
      <c r="F145" s="635"/>
      <c r="G145" s="622"/>
      <c r="H145" s="662"/>
      <c r="I145" s="650"/>
    </row>
    <row r="146" spans="1:9" s="368" customFormat="1" ht="12.75" hidden="1" customHeight="1" x14ac:dyDescent="0.2">
      <c r="A146" s="618"/>
      <c r="B146" s="632"/>
      <c r="C146" s="633"/>
      <c r="D146" s="637" t="s">
        <v>497</v>
      </c>
      <c r="E146" s="622"/>
      <c r="F146" s="635"/>
      <c r="G146" s="622"/>
      <c r="H146" s="662"/>
      <c r="I146" s="650"/>
    </row>
    <row r="147" spans="1:9" s="368" customFormat="1" ht="12.75" hidden="1" customHeight="1" x14ac:dyDescent="0.2">
      <c r="A147" s="618"/>
      <c r="B147" s="632"/>
      <c r="C147" s="633"/>
      <c r="D147" s="637" t="s">
        <v>498</v>
      </c>
      <c r="E147" s="622"/>
      <c r="F147" s="635"/>
      <c r="G147" s="622"/>
      <c r="H147" s="662"/>
      <c r="I147" s="650"/>
    </row>
    <row r="148" spans="1:9" s="368" customFormat="1" ht="12.75" hidden="1" customHeight="1" x14ac:dyDescent="0.2">
      <c r="A148" s="618"/>
      <c r="B148" s="632"/>
      <c r="C148" s="633"/>
      <c r="D148" s="637" t="s">
        <v>499</v>
      </c>
      <c r="E148" s="622"/>
      <c r="F148" s="635"/>
      <c r="G148" s="622"/>
      <c r="H148" s="662"/>
      <c r="I148" s="650"/>
    </row>
    <row r="149" spans="1:9" s="368" customFormat="1" ht="12.75" hidden="1" customHeight="1" x14ac:dyDescent="0.2">
      <c r="A149" s="618"/>
      <c r="B149" s="632"/>
      <c r="C149" s="633"/>
      <c r="D149" s="637" t="s">
        <v>526</v>
      </c>
      <c r="E149" s="622"/>
      <c r="F149" s="635"/>
      <c r="G149" s="622"/>
      <c r="H149" s="662"/>
      <c r="I149" s="650"/>
    </row>
    <row r="150" spans="1:9" s="368" customFormat="1" ht="12.75" hidden="1" customHeight="1" x14ac:dyDescent="0.2">
      <c r="A150" s="618"/>
      <c r="B150" s="632"/>
      <c r="C150" s="633"/>
      <c r="D150" s="666" t="s">
        <v>516</v>
      </c>
      <c r="E150" s="622"/>
      <c r="F150" s="635"/>
      <c r="G150" s="622"/>
      <c r="H150" s="636"/>
      <c r="I150" s="647"/>
    </row>
    <row r="151" spans="1:9" s="368" customFormat="1" ht="12.75" customHeight="1" x14ac:dyDescent="0.2">
      <c r="A151" s="318">
        <v>16</v>
      </c>
      <c r="B151" s="650" t="s">
        <v>238</v>
      </c>
      <c r="C151" s="651" t="s">
        <v>239</v>
      </c>
      <c r="D151" s="652" t="str">
        <f>$D$14</f>
        <v>FTE January 2026</v>
      </c>
      <c r="E151" s="629">
        <f>'3382'!$J$124</f>
        <v>198960.42</v>
      </c>
      <c r="F151" s="653"/>
      <c r="G151" s="629">
        <f>SUBTOTAL(109,E151:F159)</f>
        <v>198960.42</v>
      </c>
      <c r="H151" s="636"/>
      <c r="I151" s="647"/>
    </row>
    <row r="152" spans="1:9" s="368" customFormat="1" ht="12.75" hidden="1" customHeight="1" x14ac:dyDescent="0.2">
      <c r="A152" s="318"/>
      <c r="B152" s="650"/>
      <c r="C152" s="651"/>
      <c r="D152" s="311" t="s">
        <v>518</v>
      </c>
      <c r="E152" s="629"/>
      <c r="F152" s="653"/>
      <c r="G152" s="629"/>
      <c r="H152" s="662"/>
      <c r="I152" s="650"/>
    </row>
    <row r="153" spans="1:9" s="368" customFormat="1" ht="12.75" hidden="1" customHeight="1" x14ac:dyDescent="0.2">
      <c r="A153" s="318"/>
      <c r="B153" s="650"/>
      <c r="C153" s="651"/>
      <c r="D153" s="655" t="s">
        <v>495</v>
      </c>
      <c r="E153" s="629"/>
      <c r="F153" s="653"/>
      <c r="G153" s="629"/>
      <c r="H153" s="662"/>
      <c r="I153" s="650"/>
    </row>
    <row r="154" spans="1:9" s="368" customFormat="1" ht="12.75" hidden="1" customHeight="1" x14ac:dyDescent="0.2">
      <c r="A154" s="318"/>
      <c r="B154" s="650"/>
      <c r="C154" s="651"/>
      <c r="D154" s="311" t="s">
        <v>496</v>
      </c>
      <c r="E154" s="629"/>
      <c r="F154" s="653"/>
      <c r="G154" s="629"/>
      <c r="H154" s="636"/>
      <c r="I154" s="658"/>
    </row>
    <row r="155" spans="1:9" s="368" customFormat="1" ht="12.75" hidden="1" customHeight="1" x14ac:dyDescent="0.2">
      <c r="A155" s="318"/>
      <c r="B155" s="650"/>
      <c r="C155" s="651"/>
      <c r="D155" s="311" t="s">
        <v>497</v>
      </c>
      <c r="E155" s="629"/>
      <c r="F155" s="653"/>
      <c r="G155" s="629"/>
      <c r="H155" s="662"/>
      <c r="I155" s="650"/>
    </row>
    <row r="156" spans="1:9" s="368" customFormat="1" ht="12.75" hidden="1" customHeight="1" x14ac:dyDescent="0.2">
      <c r="A156" s="318"/>
      <c r="B156" s="650"/>
      <c r="C156" s="651"/>
      <c r="D156" s="311" t="s">
        <v>498</v>
      </c>
      <c r="E156" s="629"/>
      <c r="F156" s="653"/>
      <c r="G156" s="629"/>
      <c r="H156" s="662"/>
      <c r="I156" s="650"/>
    </row>
    <row r="157" spans="1:9" s="368" customFormat="1" ht="12.75" hidden="1" customHeight="1" x14ac:dyDescent="0.2">
      <c r="A157" s="318"/>
      <c r="B157" s="650"/>
      <c r="C157" s="651"/>
      <c r="D157" s="311" t="s">
        <v>499</v>
      </c>
      <c r="E157" s="629"/>
      <c r="F157" s="653"/>
      <c r="G157" s="629"/>
      <c r="H157" s="662"/>
      <c r="I157" s="650"/>
    </row>
    <row r="158" spans="1:9" s="368" customFormat="1" ht="12.75" hidden="1" customHeight="1" x14ac:dyDescent="0.2">
      <c r="A158" s="318"/>
      <c r="B158" s="650"/>
      <c r="C158" s="651"/>
      <c r="D158" s="311" t="s">
        <v>520</v>
      </c>
      <c r="E158" s="629"/>
      <c r="F158" s="653"/>
      <c r="G158" s="629"/>
      <c r="H158" s="636"/>
      <c r="I158" s="647"/>
    </row>
    <row r="159" spans="1:9" s="368" customFormat="1" ht="12.75" hidden="1" customHeight="1" x14ac:dyDescent="0.2">
      <c r="A159" s="318"/>
      <c r="B159" s="650"/>
      <c r="C159" s="658"/>
      <c r="D159" s="659" t="s">
        <v>516</v>
      </c>
      <c r="E159" s="629"/>
      <c r="F159" s="653"/>
      <c r="G159" s="629"/>
      <c r="H159" s="636"/>
      <c r="I159" s="643"/>
    </row>
    <row r="160" spans="1:9" ht="12.75" customHeight="1" x14ac:dyDescent="0.2">
      <c r="A160" s="618">
        <v>17</v>
      </c>
      <c r="B160" s="632" t="s">
        <v>240</v>
      </c>
      <c r="C160" s="633" t="s">
        <v>241</v>
      </c>
      <c r="D160" s="663" t="str">
        <f>$D$14</f>
        <v>FTE January 2026</v>
      </c>
      <c r="E160" s="622">
        <f>'3391'!$J$124</f>
        <v>0</v>
      </c>
      <c r="F160" s="635"/>
      <c r="G160" s="622">
        <f>SUBTOTAL(109,E160:F168)</f>
        <v>0</v>
      </c>
      <c r="H160" s="667"/>
      <c r="I160" s="650"/>
    </row>
    <row r="161" spans="1:16" s="368" customFormat="1" ht="12" hidden="1" customHeight="1" x14ac:dyDescent="0.2">
      <c r="A161" s="618"/>
      <c r="B161" s="632"/>
      <c r="C161" s="633"/>
      <c r="D161" s="637" t="s">
        <v>494</v>
      </c>
      <c r="E161" s="622"/>
      <c r="F161" s="635"/>
      <c r="G161" s="622"/>
      <c r="H161" s="662"/>
      <c r="I161" s="650"/>
      <c r="P161" s="657"/>
    </row>
    <row r="162" spans="1:16" s="368" customFormat="1" ht="12.75" hidden="1" customHeight="1" x14ac:dyDescent="0.2">
      <c r="A162" s="618"/>
      <c r="B162" s="632"/>
      <c r="C162" s="633"/>
      <c r="D162" s="637" t="s">
        <v>495</v>
      </c>
      <c r="E162" s="622"/>
      <c r="F162" s="635"/>
      <c r="G162" s="622"/>
      <c r="H162" s="662"/>
      <c r="I162" s="650"/>
    </row>
    <row r="163" spans="1:16" s="368" customFormat="1" ht="12.75" hidden="1" customHeight="1" x14ac:dyDescent="0.2">
      <c r="A163" s="618"/>
      <c r="B163" s="632"/>
      <c r="C163" s="633"/>
      <c r="D163" s="638" t="s">
        <v>514</v>
      </c>
      <c r="E163" s="622"/>
      <c r="F163" s="635"/>
      <c r="G163" s="622"/>
      <c r="H163" s="636"/>
      <c r="I163" s="658"/>
    </row>
    <row r="164" spans="1:16" s="368" customFormat="1" ht="12.75" hidden="1" customHeight="1" x14ac:dyDescent="0.2">
      <c r="A164" s="618"/>
      <c r="B164" s="632"/>
      <c r="C164" s="633"/>
      <c r="D164" s="637" t="s">
        <v>496</v>
      </c>
      <c r="E164" s="622"/>
      <c r="F164" s="635"/>
      <c r="G164" s="622"/>
      <c r="H164" s="662"/>
      <c r="I164" s="650"/>
    </row>
    <row r="165" spans="1:16" s="368" customFormat="1" ht="12.75" hidden="1" customHeight="1" x14ac:dyDescent="0.2">
      <c r="A165" s="618"/>
      <c r="B165" s="632"/>
      <c r="C165" s="633"/>
      <c r="D165" s="637" t="s">
        <v>497</v>
      </c>
      <c r="E165" s="622"/>
      <c r="F165" s="635"/>
      <c r="G165" s="622"/>
      <c r="H165" s="662"/>
      <c r="I165" s="650"/>
    </row>
    <row r="166" spans="1:16" s="368" customFormat="1" ht="12.75" hidden="1" customHeight="1" x14ac:dyDescent="0.2">
      <c r="A166" s="618"/>
      <c r="B166" s="632"/>
      <c r="C166" s="633"/>
      <c r="D166" s="637" t="s">
        <v>498</v>
      </c>
      <c r="E166" s="622"/>
      <c r="F166" s="635"/>
      <c r="G166" s="622"/>
      <c r="H166" s="662"/>
      <c r="I166" s="650"/>
    </row>
    <row r="167" spans="1:16" s="368" customFormat="1" ht="12.75" hidden="1" customHeight="1" x14ac:dyDescent="0.2">
      <c r="A167" s="618"/>
      <c r="B167" s="632"/>
      <c r="C167" s="633"/>
      <c r="D167" s="637" t="s">
        <v>499</v>
      </c>
      <c r="E167" s="622"/>
      <c r="F167" s="635"/>
      <c r="G167" s="622"/>
      <c r="H167" s="636"/>
      <c r="I167" s="647"/>
    </row>
    <row r="168" spans="1:16" s="368" customFormat="1" ht="12.75" hidden="1" customHeight="1" x14ac:dyDescent="0.2">
      <c r="A168" s="618"/>
      <c r="B168" s="632"/>
      <c r="C168" s="633"/>
      <c r="D168" s="666"/>
      <c r="E168" s="622"/>
      <c r="F168" s="635"/>
      <c r="G168" s="622"/>
      <c r="H168" s="662"/>
      <c r="I168" s="647"/>
    </row>
    <row r="169" spans="1:16" ht="12.75" customHeight="1" x14ac:dyDescent="0.2">
      <c r="A169" s="318">
        <v>18</v>
      </c>
      <c r="B169" s="650" t="s">
        <v>242</v>
      </c>
      <c r="C169" s="651" t="s">
        <v>243</v>
      </c>
      <c r="D169" s="652" t="str">
        <f>$D$14</f>
        <v>FTE January 2026</v>
      </c>
      <c r="E169" s="629">
        <f>'3394'!$J$124</f>
        <v>136608.79999999999</v>
      </c>
      <c r="F169" s="653" t="s">
        <v>52</v>
      </c>
      <c r="G169" s="629">
        <f>SUBTOTAL(109,E169:F178)</f>
        <v>136608.79999999999</v>
      </c>
      <c r="H169" s="667"/>
      <c r="I169" s="650"/>
    </row>
    <row r="170" spans="1:16" s="368" customFormat="1" ht="12.75" hidden="1" customHeight="1" x14ac:dyDescent="0.2">
      <c r="A170" s="318"/>
      <c r="B170" s="650"/>
      <c r="C170" s="651"/>
      <c r="D170" s="311" t="s">
        <v>518</v>
      </c>
      <c r="E170" s="629"/>
      <c r="F170" s="653"/>
      <c r="G170" s="629"/>
      <c r="H170" s="662"/>
      <c r="I170" s="668"/>
    </row>
    <row r="171" spans="1:16" s="368" customFormat="1" ht="12.75" hidden="1" customHeight="1" x14ac:dyDescent="0.2">
      <c r="A171" s="318"/>
      <c r="B171" s="650"/>
      <c r="C171" s="651"/>
      <c r="D171" s="655" t="s">
        <v>495</v>
      </c>
      <c r="E171" s="629"/>
      <c r="F171" s="653"/>
      <c r="G171" s="629"/>
      <c r="H171" s="662"/>
      <c r="I171" s="668"/>
    </row>
    <row r="172" spans="1:16" s="368" customFormat="1" ht="12.75" hidden="1" customHeight="1" x14ac:dyDescent="0.2">
      <c r="A172" s="318"/>
      <c r="B172" s="650"/>
      <c r="C172" s="651"/>
      <c r="D172" s="311" t="s">
        <v>496</v>
      </c>
      <c r="E172" s="629"/>
      <c r="F172" s="653"/>
      <c r="G172" s="629"/>
      <c r="H172" s="636"/>
      <c r="I172" s="658"/>
    </row>
    <row r="173" spans="1:16" s="368" customFormat="1" ht="12.75" hidden="1" customHeight="1" x14ac:dyDescent="0.2">
      <c r="A173" s="318"/>
      <c r="B173" s="650"/>
      <c r="C173" s="651"/>
      <c r="D173" s="311" t="s">
        <v>497</v>
      </c>
      <c r="E173" s="629"/>
      <c r="F173" s="653"/>
      <c r="G173" s="629"/>
      <c r="H173" s="636"/>
      <c r="I173" s="658"/>
    </row>
    <row r="174" spans="1:16" s="368" customFormat="1" ht="12.75" hidden="1" customHeight="1" x14ac:dyDescent="0.2">
      <c r="A174" s="318"/>
      <c r="B174" s="650"/>
      <c r="C174" s="651"/>
      <c r="D174" s="311" t="s">
        <v>498</v>
      </c>
      <c r="E174" s="629"/>
      <c r="F174" s="653"/>
      <c r="G174" s="629"/>
      <c r="H174" s="662"/>
      <c r="I174" s="668"/>
    </row>
    <row r="175" spans="1:16" s="368" customFormat="1" ht="12.75" hidden="1" customHeight="1" x14ac:dyDescent="0.2">
      <c r="A175" s="318"/>
      <c r="B175" s="650"/>
      <c r="C175" s="651"/>
      <c r="D175" s="311" t="s">
        <v>499</v>
      </c>
      <c r="E175" s="629"/>
      <c r="F175" s="653"/>
      <c r="G175" s="629"/>
      <c r="H175" s="662"/>
      <c r="I175" s="668"/>
    </row>
    <row r="176" spans="1:16" s="368" customFormat="1" ht="12.75" hidden="1" customHeight="1" x14ac:dyDescent="0.2">
      <c r="A176" s="318"/>
      <c r="B176" s="650"/>
      <c r="C176" s="651"/>
      <c r="D176" s="311" t="s">
        <v>526</v>
      </c>
      <c r="E176" s="629"/>
      <c r="F176" s="653"/>
      <c r="G176" s="629"/>
      <c r="H176" s="662"/>
      <c r="I176" s="668"/>
    </row>
    <row r="177" spans="1:9" s="368" customFormat="1" ht="12.75" hidden="1" customHeight="1" x14ac:dyDescent="0.2">
      <c r="A177" s="318"/>
      <c r="B177" s="650"/>
      <c r="C177" s="651"/>
      <c r="D177" s="659" t="s">
        <v>527</v>
      </c>
      <c r="E177" s="629"/>
      <c r="F177" s="653"/>
      <c r="G177" s="629"/>
      <c r="H177" s="636"/>
      <c r="I177" s="647"/>
    </row>
    <row r="178" spans="1:9" s="368" customFormat="1" ht="12.75" hidden="1" customHeight="1" x14ac:dyDescent="0.2">
      <c r="A178" s="318"/>
      <c r="B178" s="650"/>
      <c r="C178" s="651"/>
      <c r="D178" s="659" t="s">
        <v>528</v>
      </c>
      <c r="E178" s="629"/>
      <c r="F178" s="653"/>
      <c r="G178" s="629"/>
      <c r="H178" s="636"/>
      <c r="I178" s="647"/>
    </row>
    <row r="179" spans="1:9" s="368" customFormat="1" ht="12" customHeight="1" x14ac:dyDescent="0.2">
      <c r="A179" s="618">
        <v>19</v>
      </c>
      <c r="B179" s="632" t="s">
        <v>244</v>
      </c>
      <c r="C179" s="664" t="s">
        <v>316</v>
      </c>
      <c r="D179" s="663" t="str">
        <f>$D$14</f>
        <v>FTE January 2026</v>
      </c>
      <c r="E179" s="622">
        <f>'3395'!$J$124</f>
        <v>366702.22</v>
      </c>
      <c r="F179" s="635"/>
      <c r="G179" s="622">
        <f>SUBTOTAL(109,E179:F187)</f>
        <v>366702.22</v>
      </c>
      <c r="H179" s="662"/>
      <c r="I179" s="668"/>
    </row>
    <row r="180" spans="1:9" s="368" customFormat="1" ht="12.75" hidden="1" customHeight="1" x14ac:dyDescent="0.2">
      <c r="A180" s="618"/>
      <c r="B180" s="632"/>
      <c r="C180" s="633"/>
      <c r="D180" s="637" t="s">
        <v>494</v>
      </c>
      <c r="E180" s="622"/>
      <c r="F180" s="635"/>
      <c r="G180" s="622"/>
      <c r="H180" s="662"/>
      <c r="I180" s="668"/>
    </row>
    <row r="181" spans="1:9" s="368" customFormat="1" ht="12.75" hidden="1" customHeight="1" x14ac:dyDescent="0.2">
      <c r="A181" s="618"/>
      <c r="B181" s="632"/>
      <c r="C181" s="633"/>
      <c r="D181" s="638" t="s">
        <v>495</v>
      </c>
      <c r="E181" s="622"/>
      <c r="F181" s="635"/>
      <c r="G181" s="622"/>
      <c r="H181" s="636"/>
      <c r="I181" s="658"/>
    </row>
    <row r="182" spans="1:9" s="368" customFormat="1" ht="12.75" hidden="1" customHeight="1" x14ac:dyDescent="0.2">
      <c r="A182" s="618"/>
      <c r="B182" s="632"/>
      <c r="C182" s="633"/>
      <c r="D182" s="637" t="s">
        <v>496</v>
      </c>
      <c r="E182" s="622"/>
      <c r="F182" s="635"/>
      <c r="G182" s="622"/>
      <c r="H182" s="662"/>
      <c r="I182" s="668"/>
    </row>
    <row r="183" spans="1:9" s="368" customFormat="1" ht="12.75" hidden="1" customHeight="1" x14ac:dyDescent="0.2">
      <c r="A183" s="618"/>
      <c r="B183" s="632"/>
      <c r="C183" s="633"/>
      <c r="D183" s="637" t="s">
        <v>497</v>
      </c>
      <c r="E183" s="622"/>
      <c r="F183" s="635"/>
      <c r="G183" s="622"/>
      <c r="H183" s="662"/>
      <c r="I183" s="668"/>
    </row>
    <row r="184" spans="1:9" s="368" customFormat="1" ht="12.75" hidden="1" customHeight="1" x14ac:dyDescent="0.2">
      <c r="A184" s="618"/>
      <c r="B184" s="632"/>
      <c r="C184" s="633"/>
      <c r="D184" s="637" t="s">
        <v>498</v>
      </c>
      <c r="E184" s="622"/>
      <c r="F184" s="635"/>
      <c r="G184" s="622"/>
      <c r="H184" s="662"/>
      <c r="I184" s="668"/>
    </row>
    <row r="185" spans="1:9" s="368" customFormat="1" ht="12.75" hidden="1" customHeight="1" x14ac:dyDescent="0.2">
      <c r="A185" s="618"/>
      <c r="B185" s="632"/>
      <c r="C185" s="633"/>
      <c r="D185" s="644" t="s">
        <v>516</v>
      </c>
      <c r="E185" s="622"/>
      <c r="F185" s="635"/>
      <c r="G185" s="622"/>
      <c r="H185" s="636"/>
      <c r="I185" s="647"/>
    </row>
    <row r="186" spans="1:9" s="368" customFormat="1" ht="12.75" hidden="1" customHeight="1" x14ac:dyDescent="0.2">
      <c r="A186" s="618"/>
      <c r="B186" s="632"/>
      <c r="C186" s="633"/>
      <c r="D186" s="644"/>
      <c r="E186" s="622"/>
      <c r="F186" s="635"/>
      <c r="G186" s="622"/>
      <c r="H186" s="662"/>
      <c r="I186" s="643"/>
    </row>
    <row r="187" spans="1:9" s="368" customFormat="1" ht="12.75" hidden="1" customHeight="1" x14ac:dyDescent="0.2">
      <c r="A187" s="618"/>
      <c r="B187" s="632"/>
      <c r="C187" s="633"/>
      <c r="D187" s="644"/>
      <c r="E187" s="669"/>
      <c r="F187" s="635"/>
      <c r="G187" s="622"/>
      <c r="H187" s="662"/>
      <c r="I187" s="643"/>
    </row>
    <row r="188" spans="1:9" s="368" customFormat="1" ht="12.75" customHeight="1" x14ac:dyDescent="0.2">
      <c r="A188" s="318">
        <v>20</v>
      </c>
      <c r="B188" s="650" t="s">
        <v>246</v>
      </c>
      <c r="C188" s="665" t="s">
        <v>247</v>
      </c>
      <c r="D188" s="652" t="str">
        <f>$D$14</f>
        <v>FTE January 2026</v>
      </c>
      <c r="E188" s="629">
        <f>'3396'!$J$124</f>
        <v>524600.61</v>
      </c>
      <c r="F188" s="653"/>
      <c r="G188" s="629">
        <f>SUBTOTAL(109,E188:F195)</f>
        <v>524600.61</v>
      </c>
      <c r="H188" s="662"/>
      <c r="I188" s="668"/>
    </row>
    <row r="189" spans="1:9" s="368" customFormat="1" ht="12.75" hidden="1" customHeight="1" x14ac:dyDescent="0.2">
      <c r="A189" s="318"/>
      <c r="B189" s="650"/>
      <c r="C189" s="665"/>
      <c r="D189" s="311" t="s">
        <v>518</v>
      </c>
      <c r="E189" s="629"/>
      <c r="F189" s="653"/>
      <c r="G189" s="629"/>
      <c r="H189" s="662"/>
      <c r="I189" s="668"/>
    </row>
    <row r="190" spans="1:9" s="368" customFormat="1" ht="12.75" hidden="1" customHeight="1" x14ac:dyDescent="0.2">
      <c r="A190" s="318"/>
      <c r="B190" s="650"/>
      <c r="C190" s="665"/>
      <c r="D190" s="311" t="s">
        <v>495</v>
      </c>
      <c r="E190" s="629"/>
      <c r="F190" s="653"/>
      <c r="G190" s="629"/>
      <c r="H190" s="662"/>
      <c r="I190" s="668"/>
    </row>
    <row r="191" spans="1:9" s="368" customFormat="1" ht="12.75" hidden="1" customHeight="1" x14ac:dyDescent="0.2">
      <c r="A191" s="318"/>
      <c r="B191" s="650"/>
      <c r="C191" s="665"/>
      <c r="D191" s="311" t="s">
        <v>497</v>
      </c>
      <c r="E191" s="629"/>
      <c r="F191" s="653"/>
      <c r="G191" s="629"/>
      <c r="H191" s="636"/>
      <c r="I191" s="658"/>
    </row>
    <row r="192" spans="1:9" s="368" customFormat="1" ht="12.75" hidden="1" customHeight="1" x14ac:dyDescent="0.2">
      <c r="A192" s="318"/>
      <c r="B192" s="650"/>
      <c r="C192" s="665"/>
      <c r="D192" s="311" t="s">
        <v>498</v>
      </c>
      <c r="E192" s="629"/>
      <c r="F192" s="653"/>
      <c r="G192" s="629"/>
      <c r="H192" s="662"/>
      <c r="I192" s="668"/>
    </row>
    <row r="193" spans="1:11" s="368" customFormat="1" ht="12.75" hidden="1" customHeight="1" x14ac:dyDescent="0.2">
      <c r="A193" s="318"/>
      <c r="B193" s="650"/>
      <c r="C193" s="651"/>
      <c r="D193" s="311" t="s">
        <v>499</v>
      </c>
      <c r="E193" s="629"/>
      <c r="F193" s="653"/>
      <c r="G193" s="629"/>
      <c r="H193" s="662"/>
      <c r="I193" s="668"/>
    </row>
    <row r="194" spans="1:11" s="368" customFormat="1" ht="12.75" hidden="1" customHeight="1" x14ac:dyDescent="0.2">
      <c r="A194" s="318"/>
      <c r="B194" s="650"/>
      <c r="C194" s="651"/>
      <c r="D194" s="311" t="s">
        <v>526</v>
      </c>
      <c r="E194" s="629"/>
      <c r="F194" s="653"/>
      <c r="G194" s="629"/>
      <c r="H194" s="662"/>
      <c r="I194" s="668"/>
    </row>
    <row r="195" spans="1:11" s="368" customFormat="1" ht="12.75" hidden="1" customHeight="1" x14ac:dyDescent="0.2">
      <c r="A195" s="318"/>
      <c r="B195" s="650"/>
      <c r="C195" s="651"/>
      <c r="D195" s="659" t="s">
        <v>516</v>
      </c>
      <c r="E195" s="629"/>
      <c r="F195" s="653"/>
      <c r="G195" s="629"/>
      <c r="H195" s="636"/>
      <c r="I195" s="647"/>
    </row>
    <row r="196" spans="1:11" s="368" customFormat="1" ht="12.75" customHeight="1" x14ac:dyDescent="0.2">
      <c r="A196" s="618">
        <f>A188+1</f>
        <v>21</v>
      </c>
      <c r="B196" s="632" t="s">
        <v>248</v>
      </c>
      <c r="C196" s="633" t="s">
        <v>249</v>
      </c>
      <c r="D196" s="663" t="str">
        <f>$D$14</f>
        <v>FTE January 2026</v>
      </c>
      <c r="E196" s="622">
        <f>'3398'!$J$124</f>
        <v>78174.02</v>
      </c>
      <c r="F196" s="635"/>
      <c r="G196" s="622">
        <f>SUBTOTAL(109,E196:F202)</f>
        <v>78174.02</v>
      </c>
      <c r="H196" s="662"/>
      <c r="I196" s="643"/>
    </row>
    <row r="197" spans="1:11" ht="12.75" hidden="1" customHeight="1" x14ac:dyDescent="0.2">
      <c r="A197" s="618"/>
      <c r="B197" s="632"/>
      <c r="C197" s="633"/>
      <c r="D197" s="637" t="s">
        <v>494</v>
      </c>
      <c r="E197" s="622"/>
      <c r="F197" s="635"/>
      <c r="G197" s="622"/>
      <c r="H197" s="667"/>
      <c r="I197" s="670"/>
    </row>
    <row r="198" spans="1:11" s="368" customFormat="1" ht="12.75" hidden="1" customHeight="1" x14ac:dyDescent="0.2">
      <c r="A198" s="618"/>
      <c r="B198" s="632"/>
      <c r="C198" s="633"/>
      <c r="D198" s="637" t="s">
        <v>495</v>
      </c>
      <c r="E198" s="622"/>
      <c r="F198" s="635"/>
      <c r="G198" s="622"/>
      <c r="H198" s="662"/>
      <c r="I198" s="668"/>
      <c r="K198" s="657"/>
    </row>
    <row r="199" spans="1:11" s="368" customFormat="1" ht="12.75" hidden="1" customHeight="1" x14ac:dyDescent="0.2">
      <c r="A199" s="618"/>
      <c r="B199" s="632"/>
      <c r="C199" s="633"/>
      <c r="D199" s="637" t="s">
        <v>497</v>
      </c>
      <c r="E199" s="622"/>
      <c r="F199" s="635"/>
      <c r="G199" s="622"/>
      <c r="H199" s="662"/>
      <c r="I199" s="668"/>
    </row>
    <row r="200" spans="1:11" s="368" customFormat="1" ht="12.75" hidden="1" customHeight="1" x14ac:dyDescent="0.2">
      <c r="A200" s="618"/>
      <c r="B200" s="632"/>
      <c r="C200" s="640"/>
      <c r="D200" s="637" t="s">
        <v>498</v>
      </c>
      <c r="E200" s="622"/>
      <c r="F200" s="635"/>
      <c r="G200" s="622"/>
      <c r="H200" s="662"/>
    </row>
    <row r="201" spans="1:11" s="368" customFormat="1" ht="12.75" hidden="1" customHeight="1" x14ac:dyDescent="0.2">
      <c r="A201" s="618"/>
      <c r="B201" s="632"/>
      <c r="C201" s="633"/>
      <c r="D201" s="637" t="s">
        <v>499</v>
      </c>
      <c r="E201" s="622"/>
      <c r="F201" s="635"/>
      <c r="G201" s="622"/>
      <c r="H201" s="662"/>
    </row>
    <row r="202" spans="1:11" s="368" customFormat="1" ht="12.75" hidden="1" customHeight="1" x14ac:dyDescent="0.2">
      <c r="A202" s="618"/>
      <c r="B202" s="632"/>
      <c r="C202" s="640"/>
      <c r="D202" s="666" t="s">
        <v>516</v>
      </c>
      <c r="E202" s="622"/>
      <c r="F202" s="635"/>
      <c r="G202" s="622"/>
      <c r="H202" s="662"/>
    </row>
    <row r="203" spans="1:11" s="368" customFormat="1" ht="12.75" customHeight="1" x14ac:dyDescent="0.2">
      <c r="A203" s="318">
        <f>A196+1</f>
        <v>22</v>
      </c>
      <c r="B203" s="650" t="s">
        <v>250</v>
      </c>
      <c r="C203" s="651" t="s">
        <v>251</v>
      </c>
      <c r="D203" s="652" t="str">
        <f>$D$14</f>
        <v>FTE January 2026</v>
      </c>
      <c r="E203" s="629">
        <f>'3400'!$J$124</f>
        <v>100047.91</v>
      </c>
      <c r="F203" s="653"/>
      <c r="G203" s="629">
        <f>SUBTOTAL(109,E203:F210)</f>
        <v>100047.91</v>
      </c>
      <c r="H203" s="636"/>
      <c r="I203" s="647"/>
    </row>
    <row r="204" spans="1:11" s="368" customFormat="1" ht="12.75" hidden="1" customHeight="1" x14ac:dyDescent="0.2">
      <c r="A204" s="318"/>
      <c r="B204" s="650"/>
      <c r="C204" s="651"/>
      <c r="D204" s="311" t="s">
        <v>518</v>
      </c>
      <c r="E204" s="629"/>
      <c r="F204" s="653"/>
      <c r="G204" s="629"/>
      <c r="H204" s="662"/>
      <c r="I204" s="643"/>
    </row>
    <row r="205" spans="1:11" s="368" customFormat="1" ht="12.75" hidden="1" customHeight="1" x14ac:dyDescent="0.2">
      <c r="A205" s="318"/>
      <c r="B205" s="650"/>
      <c r="C205" s="651"/>
      <c r="D205" s="655" t="s">
        <v>525</v>
      </c>
      <c r="E205" s="629"/>
      <c r="F205" s="653"/>
      <c r="G205" s="629"/>
      <c r="H205" s="662"/>
      <c r="I205" s="668"/>
    </row>
    <row r="206" spans="1:11" s="368" customFormat="1" ht="12.75" hidden="1" customHeight="1" x14ac:dyDescent="0.2">
      <c r="A206" s="318"/>
      <c r="B206" s="650"/>
      <c r="C206" s="651"/>
      <c r="D206" s="311" t="s">
        <v>496</v>
      </c>
      <c r="E206" s="629"/>
      <c r="F206" s="653"/>
      <c r="G206" s="629"/>
      <c r="H206" s="662"/>
      <c r="I206" s="668"/>
    </row>
    <row r="207" spans="1:11" s="368" customFormat="1" ht="12.75" hidden="1" customHeight="1" x14ac:dyDescent="0.2">
      <c r="A207" s="318"/>
      <c r="B207" s="650"/>
      <c r="C207" s="651"/>
      <c r="D207" s="311" t="s">
        <v>497</v>
      </c>
      <c r="E207" s="629"/>
      <c r="F207" s="653"/>
      <c r="G207" s="629"/>
      <c r="H207" s="662"/>
      <c r="I207" s="668"/>
    </row>
    <row r="208" spans="1:11" s="368" customFormat="1" ht="12.75" hidden="1" customHeight="1" x14ac:dyDescent="0.2">
      <c r="A208" s="318"/>
      <c r="B208" s="650"/>
      <c r="C208" s="651"/>
      <c r="D208" s="311" t="s">
        <v>498</v>
      </c>
      <c r="E208" s="629"/>
      <c r="F208" s="653"/>
      <c r="G208" s="629"/>
      <c r="H208" s="662"/>
    </row>
    <row r="209" spans="1:9" s="368" customFormat="1" ht="12.75" hidden="1" customHeight="1" x14ac:dyDescent="0.2">
      <c r="A209" s="318"/>
      <c r="B209" s="650"/>
      <c r="C209" s="651"/>
      <c r="D209" s="311" t="s">
        <v>499</v>
      </c>
      <c r="E209" s="629"/>
      <c r="F209" s="653"/>
      <c r="G209" s="629"/>
      <c r="H209" s="662"/>
      <c r="I209" s="309"/>
    </row>
    <row r="210" spans="1:9" ht="12.75" hidden="1" customHeight="1" x14ac:dyDescent="0.2">
      <c r="A210" s="318"/>
      <c r="B210" s="650"/>
      <c r="C210" s="651"/>
      <c r="D210" s="659" t="s">
        <v>516</v>
      </c>
      <c r="E210" s="629"/>
      <c r="F210" s="653"/>
      <c r="G210" s="629"/>
      <c r="H210" s="667"/>
    </row>
    <row r="211" spans="1:9" s="368" customFormat="1" ht="12.75" customHeight="1" x14ac:dyDescent="0.2">
      <c r="A211" s="618">
        <f>A203+1</f>
        <v>23</v>
      </c>
      <c r="B211" s="632" t="s">
        <v>252</v>
      </c>
      <c r="C211" s="633" t="s">
        <v>253</v>
      </c>
      <c r="D211" s="663" t="str">
        <f>$D$14</f>
        <v>FTE January 2026</v>
      </c>
      <c r="E211" s="622">
        <f>'3401'!$J$124</f>
        <v>307696.18</v>
      </c>
      <c r="F211" s="635"/>
      <c r="G211" s="622">
        <f>SUBTOTAL(109,E211:F221)</f>
        <v>307696.18</v>
      </c>
      <c r="H211" s="636"/>
      <c r="I211" s="647"/>
    </row>
    <row r="212" spans="1:9" ht="12.75" hidden="1" customHeight="1" x14ac:dyDescent="0.2">
      <c r="A212" s="618"/>
      <c r="B212" s="632"/>
      <c r="C212" s="633"/>
      <c r="D212" s="637" t="s">
        <v>494</v>
      </c>
      <c r="E212" s="622"/>
      <c r="F212" s="635"/>
      <c r="G212" s="622"/>
      <c r="H212" s="667"/>
      <c r="I212" s="668"/>
    </row>
    <row r="213" spans="1:9" s="368" customFormat="1" ht="12.75" hidden="1" customHeight="1" x14ac:dyDescent="0.2">
      <c r="A213" s="618"/>
      <c r="B213" s="632"/>
      <c r="C213" s="633"/>
      <c r="D213" s="638" t="s">
        <v>495</v>
      </c>
      <c r="E213" s="622"/>
      <c r="F213" s="635"/>
      <c r="G213" s="622"/>
      <c r="H213" s="662"/>
      <c r="I213" s="668"/>
    </row>
    <row r="214" spans="1:9" s="368" customFormat="1" ht="12.75" hidden="1" customHeight="1" x14ac:dyDescent="0.2">
      <c r="A214" s="618"/>
      <c r="B214" s="632"/>
      <c r="C214" s="633"/>
      <c r="D214" s="637" t="s">
        <v>519</v>
      </c>
      <c r="E214" s="622"/>
      <c r="F214" s="635"/>
      <c r="G214" s="622"/>
      <c r="H214" s="662"/>
      <c r="I214" s="668"/>
    </row>
    <row r="215" spans="1:9" s="368" customFormat="1" ht="12.75" hidden="1" customHeight="1" x14ac:dyDescent="0.2">
      <c r="A215" s="618"/>
      <c r="B215" s="632"/>
      <c r="C215" s="633"/>
      <c r="D215" s="637" t="s">
        <v>529</v>
      </c>
      <c r="E215" s="622"/>
      <c r="F215" s="635"/>
      <c r="G215" s="622"/>
      <c r="H215" s="636"/>
      <c r="I215" s="658"/>
    </row>
    <row r="216" spans="1:9" s="368" customFormat="1" ht="12.75" hidden="1" customHeight="1" x14ac:dyDescent="0.2">
      <c r="A216" s="618"/>
      <c r="B216" s="632"/>
      <c r="C216" s="633"/>
      <c r="D216" s="637" t="s">
        <v>496</v>
      </c>
      <c r="E216" s="622"/>
      <c r="F216" s="635"/>
      <c r="G216" s="622"/>
      <c r="H216" s="662"/>
    </row>
    <row r="217" spans="1:9" s="368" customFormat="1" ht="12.75" hidden="1" customHeight="1" x14ac:dyDescent="0.2">
      <c r="A217" s="618"/>
      <c r="B217" s="632"/>
      <c r="C217" s="633"/>
      <c r="D217" s="637" t="s">
        <v>497</v>
      </c>
      <c r="E217" s="622"/>
      <c r="F217" s="635"/>
      <c r="G217" s="622"/>
      <c r="H217" s="662"/>
    </row>
    <row r="218" spans="1:9" s="368" customFormat="1" ht="12.75" hidden="1" customHeight="1" x14ac:dyDescent="0.2">
      <c r="A218" s="618"/>
      <c r="B218" s="632"/>
      <c r="C218" s="633"/>
      <c r="D218" s="637" t="s">
        <v>498</v>
      </c>
      <c r="E218" s="622"/>
      <c r="F218" s="635"/>
      <c r="G218" s="622"/>
      <c r="H218" s="662"/>
      <c r="I218" s="650"/>
    </row>
    <row r="219" spans="1:9" s="368" customFormat="1" ht="12.75" hidden="1" customHeight="1" x14ac:dyDescent="0.2">
      <c r="A219" s="618"/>
      <c r="B219" s="632"/>
      <c r="C219" s="633"/>
      <c r="D219" s="637" t="s">
        <v>499</v>
      </c>
      <c r="E219" s="622"/>
      <c r="F219" s="635"/>
      <c r="G219" s="622"/>
      <c r="H219" s="636"/>
      <c r="I219" s="647"/>
    </row>
    <row r="220" spans="1:9" s="368" customFormat="1" ht="12.75" hidden="1" customHeight="1" x14ac:dyDescent="0.2">
      <c r="A220" s="618"/>
      <c r="B220" s="632"/>
      <c r="C220" s="640"/>
      <c r="D220" s="644" t="s">
        <v>507</v>
      </c>
      <c r="E220" s="622"/>
      <c r="F220" s="635"/>
      <c r="G220" s="622"/>
      <c r="H220" s="636"/>
      <c r="I220" s="647"/>
    </row>
    <row r="221" spans="1:9" s="368" customFormat="1" ht="12.75" hidden="1" customHeight="1" x14ac:dyDescent="0.2">
      <c r="A221" s="618"/>
      <c r="B221" s="632"/>
      <c r="C221" s="633"/>
      <c r="D221" s="666" t="s">
        <v>516</v>
      </c>
      <c r="E221" s="622"/>
      <c r="F221" s="635"/>
      <c r="G221" s="622"/>
      <c r="H221" s="662"/>
      <c r="I221" s="650"/>
    </row>
    <row r="222" spans="1:9" s="368" customFormat="1" ht="12.75" customHeight="1" x14ac:dyDescent="0.2">
      <c r="A222" s="318">
        <f>A211+1</f>
        <v>24</v>
      </c>
      <c r="B222" s="650" t="s">
        <v>254</v>
      </c>
      <c r="C222" s="651" t="s">
        <v>255</v>
      </c>
      <c r="D222" s="652" t="str">
        <f>$D$14</f>
        <v>FTE January 2026</v>
      </c>
      <c r="E222" s="629">
        <f>'3413'!$J$124</f>
        <v>287180.12</v>
      </c>
      <c r="F222" s="653"/>
      <c r="G222" s="629">
        <f>SUBTOTAL(109,E222:F229)</f>
        <v>287180.12</v>
      </c>
      <c r="H222" s="662"/>
      <c r="I222" s="650"/>
    </row>
    <row r="223" spans="1:9" s="368" customFormat="1" ht="12.75" hidden="1" customHeight="1" x14ac:dyDescent="0.2">
      <c r="A223" s="318"/>
      <c r="B223" s="650"/>
      <c r="C223" s="651"/>
      <c r="D223" s="311" t="s">
        <v>518</v>
      </c>
      <c r="E223" s="629"/>
      <c r="F223" s="653"/>
      <c r="G223" s="629"/>
      <c r="H223" s="662"/>
      <c r="I223" s="650"/>
    </row>
    <row r="224" spans="1:9" s="368" customFormat="1" ht="12.75" hidden="1" customHeight="1" x14ac:dyDescent="0.2">
      <c r="A224" s="318"/>
      <c r="B224" s="650"/>
      <c r="C224" s="651"/>
      <c r="D224" s="655" t="s">
        <v>495</v>
      </c>
      <c r="E224" s="629"/>
      <c r="F224" s="653"/>
      <c r="G224" s="629"/>
      <c r="H224" s="662"/>
      <c r="I224" s="650"/>
    </row>
    <row r="225" spans="1:9" s="368" customFormat="1" ht="12.75" hidden="1" customHeight="1" x14ac:dyDescent="0.2">
      <c r="A225" s="318"/>
      <c r="B225" s="650"/>
      <c r="C225" s="651"/>
      <c r="D225" s="311" t="s">
        <v>496</v>
      </c>
      <c r="E225" s="629"/>
      <c r="F225" s="653"/>
      <c r="G225" s="629"/>
      <c r="H225" s="662"/>
      <c r="I225" s="650"/>
    </row>
    <row r="226" spans="1:9" s="368" customFormat="1" ht="12.75" hidden="1" customHeight="1" x14ac:dyDescent="0.2">
      <c r="A226" s="318"/>
      <c r="B226" s="650"/>
      <c r="C226" s="651"/>
      <c r="D226" s="311" t="s">
        <v>497</v>
      </c>
      <c r="E226" s="629"/>
      <c r="F226" s="653"/>
      <c r="G226" s="629"/>
      <c r="H226" s="662"/>
      <c r="I226" s="650"/>
    </row>
    <row r="227" spans="1:9" s="368" customFormat="1" ht="12.75" hidden="1" customHeight="1" x14ac:dyDescent="0.2">
      <c r="A227" s="318"/>
      <c r="B227" s="650"/>
      <c r="C227" s="651"/>
      <c r="D227" s="311" t="s">
        <v>498</v>
      </c>
      <c r="E227" s="629"/>
      <c r="F227" s="653"/>
      <c r="G227" s="629"/>
      <c r="H227" s="662"/>
      <c r="I227" s="650"/>
    </row>
    <row r="228" spans="1:9" s="368" customFormat="1" ht="12.75" hidden="1" customHeight="1" x14ac:dyDescent="0.2">
      <c r="A228" s="318"/>
      <c r="B228" s="650"/>
      <c r="C228" s="651"/>
      <c r="D228" s="311" t="s">
        <v>499</v>
      </c>
      <c r="E228" s="629"/>
      <c r="F228" s="653"/>
      <c r="G228" s="629"/>
      <c r="H228" s="662"/>
      <c r="I228" s="650"/>
    </row>
    <row r="229" spans="1:9" s="368" customFormat="1" ht="12.75" hidden="1" customHeight="1" x14ac:dyDescent="0.2">
      <c r="A229" s="318"/>
      <c r="B229" s="650"/>
      <c r="C229" s="651"/>
      <c r="D229" s="659" t="s">
        <v>516</v>
      </c>
      <c r="E229" s="629"/>
      <c r="F229" s="653"/>
      <c r="G229" s="629"/>
      <c r="H229" s="636"/>
      <c r="I229" s="647"/>
    </row>
    <row r="230" spans="1:9" s="368" customFormat="1" ht="12.75" customHeight="1" x14ac:dyDescent="0.2">
      <c r="A230" s="618">
        <f>A222+1</f>
        <v>25</v>
      </c>
      <c r="B230" s="632" t="s">
        <v>256</v>
      </c>
      <c r="C230" s="633" t="s">
        <v>257</v>
      </c>
      <c r="D230" s="663" t="str">
        <f>$D$14</f>
        <v>FTE January 2026</v>
      </c>
      <c r="E230" s="622">
        <f>'3421'!$J$124</f>
        <v>365620.49</v>
      </c>
      <c r="F230" s="635"/>
      <c r="G230" s="622">
        <f>SUBTOTAL(109,E230:F240)</f>
        <v>365620.49</v>
      </c>
      <c r="H230" s="662"/>
      <c r="I230" s="645"/>
    </row>
    <row r="231" spans="1:9" s="368" customFormat="1" ht="12.75" hidden="1" customHeight="1" x14ac:dyDescent="0.2">
      <c r="A231" s="618"/>
      <c r="B231" s="632"/>
      <c r="C231" s="633"/>
      <c r="D231" s="637" t="s">
        <v>494</v>
      </c>
      <c r="E231" s="622"/>
      <c r="F231" s="635"/>
      <c r="G231" s="622"/>
      <c r="H231" s="636"/>
      <c r="I231" s="647"/>
    </row>
    <row r="232" spans="1:9" s="368" customFormat="1" ht="12.75" hidden="1" customHeight="1" x14ac:dyDescent="0.2">
      <c r="A232" s="618"/>
      <c r="B232" s="632"/>
      <c r="C232" s="633"/>
      <c r="D232" s="638" t="s">
        <v>530</v>
      </c>
      <c r="E232" s="622"/>
      <c r="F232" s="635"/>
      <c r="G232" s="622"/>
      <c r="H232" s="662"/>
      <c r="I232" s="650"/>
    </row>
    <row r="233" spans="1:9" s="368" customFormat="1" ht="12.75" hidden="1" customHeight="1" x14ac:dyDescent="0.2">
      <c r="A233" s="618"/>
      <c r="B233" s="632"/>
      <c r="C233" s="633"/>
      <c r="D233" s="637" t="s">
        <v>519</v>
      </c>
      <c r="E233" s="622"/>
      <c r="F233" s="635"/>
      <c r="G233" s="622"/>
      <c r="H233" s="662"/>
      <c r="I233" s="650"/>
    </row>
    <row r="234" spans="1:9" s="368" customFormat="1" ht="12.75" hidden="1" customHeight="1" x14ac:dyDescent="0.2">
      <c r="A234" s="618"/>
      <c r="B234" s="632"/>
      <c r="C234" s="633"/>
      <c r="D234" s="637" t="s">
        <v>529</v>
      </c>
      <c r="E234" s="622"/>
      <c r="F234" s="635"/>
      <c r="G234" s="622"/>
      <c r="H234" s="636"/>
      <c r="I234" s="658"/>
    </row>
    <row r="235" spans="1:9" s="368" customFormat="1" ht="12.75" hidden="1" customHeight="1" x14ac:dyDescent="0.2">
      <c r="A235" s="618"/>
      <c r="B235" s="632"/>
      <c r="C235" s="633"/>
      <c r="D235" s="637" t="s">
        <v>496</v>
      </c>
      <c r="E235" s="622"/>
      <c r="F235" s="635"/>
      <c r="G235" s="622"/>
      <c r="H235" s="662"/>
    </row>
    <row r="236" spans="1:9" s="368" customFormat="1" ht="12.75" hidden="1" customHeight="1" x14ac:dyDescent="0.2">
      <c r="A236" s="618"/>
      <c r="B236" s="632"/>
      <c r="C236" s="633"/>
      <c r="D236" s="637" t="s">
        <v>497</v>
      </c>
      <c r="E236" s="622"/>
      <c r="F236" s="635"/>
      <c r="G236" s="622"/>
      <c r="H236" s="662"/>
    </row>
    <row r="237" spans="1:9" s="368" customFormat="1" ht="12.75" hidden="1" customHeight="1" x14ac:dyDescent="0.2">
      <c r="A237" s="618"/>
      <c r="B237" s="632"/>
      <c r="C237" s="633"/>
      <c r="D237" s="637" t="s">
        <v>498</v>
      </c>
      <c r="E237" s="622"/>
      <c r="F237" s="635"/>
      <c r="G237" s="622"/>
      <c r="H237" s="662"/>
    </row>
    <row r="238" spans="1:9" s="368" customFormat="1" ht="12.75" hidden="1" customHeight="1" x14ac:dyDescent="0.2">
      <c r="A238" s="618"/>
      <c r="B238" s="632"/>
      <c r="C238" s="633"/>
      <c r="D238" s="637" t="s">
        <v>499</v>
      </c>
      <c r="E238" s="622"/>
      <c r="F238" s="635"/>
      <c r="G238" s="622"/>
      <c r="H238" s="636"/>
      <c r="I238" s="647"/>
    </row>
    <row r="239" spans="1:9" s="368" customFormat="1" ht="12.75" hidden="1" customHeight="1" x14ac:dyDescent="0.2">
      <c r="A239" s="618"/>
      <c r="B239" s="632"/>
      <c r="C239" s="640"/>
      <c r="D239" s="644" t="s">
        <v>507</v>
      </c>
      <c r="E239" s="622"/>
      <c r="F239" s="635"/>
      <c r="G239" s="622"/>
      <c r="H239" s="636"/>
      <c r="I239" s="647"/>
    </row>
    <row r="240" spans="1:9" s="368" customFormat="1" ht="12.75" hidden="1" customHeight="1" x14ac:dyDescent="0.2">
      <c r="A240" s="618"/>
      <c r="B240" s="632"/>
      <c r="C240" s="633"/>
      <c r="D240" s="666" t="s">
        <v>516</v>
      </c>
      <c r="E240" s="622"/>
      <c r="F240" s="635"/>
      <c r="G240" s="622"/>
      <c r="H240" s="662"/>
    </row>
    <row r="241" spans="1:9" s="368" customFormat="1" ht="12.75" customHeight="1" x14ac:dyDescent="0.2">
      <c r="A241" s="318">
        <f>A230+1</f>
        <v>26</v>
      </c>
      <c r="B241" s="650" t="s">
        <v>258</v>
      </c>
      <c r="C241" s="651" t="s">
        <v>259</v>
      </c>
      <c r="D241" s="652" t="str">
        <f>$D$14</f>
        <v>FTE January 2026</v>
      </c>
      <c r="E241" s="629">
        <f>'3431'!$J$124</f>
        <v>725549.97</v>
      </c>
      <c r="F241" s="653"/>
      <c r="G241" s="629">
        <f>SUBTOTAL(109,E241:F250)</f>
        <v>725549.97</v>
      </c>
      <c r="H241" s="662"/>
    </row>
    <row r="242" spans="1:9" s="368" customFormat="1" ht="12.75" hidden="1" customHeight="1" x14ac:dyDescent="0.2">
      <c r="A242" s="318"/>
      <c r="B242" s="650"/>
      <c r="C242" s="651"/>
      <c r="D242" s="311" t="s">
        <v>518</v>
      </c>
      <c r="E242" s="629"/>
      <c r="F242" s="653"/>
      <c r="G242" s="629"/>
      <c r="H242" s="662"/>
      <c r="I242" s="650"/>
    </row>
    <row r="243" spans="1:9" s="368" customFormat="1" ht="12.75" hidden="1" customHeight="1" x14ac:dyDescent="0.2">
      <c r="A243" s="318"/>
      <c r="B243" s="650"/>
      <c r="C243" s="651"/>
      <c r="D243" s="655" t="s">
        <v>495</v>
      </c>
      <c r="E243" s="629"/>
      <c r="F243" s="653"/>
      <c r="G243" s="629"/>
      <c r="H243" s="662"/>
      <c r="I243" s="650"/>
    </row>
    <row r="244" spans="1:9" s="368" customFormat="1" ht="12.75" hidden="1" customHeight="1" x14ac:dyDescent="0.2">
      <c r="A244" s="318"/>
      <c r="B244" s="650"/>
      <c r="C244" s="651"/>
      <c r="D244" s="311" t="s">
        <v>496</v>
      </c>
      <c r="E244" s="629"/>
      <c r="F244" s="653"/>
      <c r="G244" s="629"/>
      <c r="H244" s="662"/>
      <c r="I244" s="650"/>
    </row>
    <row r="245" spans="1:9" s="368" customFormat="1" ht="12.75" hidden="1" customHeight="1" x14ac:dyDescent="0.2">
      <c r="A245" s="318"/>
      <c r="B245" s="650"/>
      <c r="C245" s="651"/>
      <c r="D245" s="311" t="s">
        <v>521</v>
      </c>
      <c r="E245" s="629"/>
      <c r="F245" s="653"/>
      <c r="G245" s="629"/>
      <c r="H245" s="662"/>
    </row>
    <row r="246" spans="1:9" s="368" customFormat="1" ht="12.75" hidden="1" customHeight="1" x14ac:dyDescent="0.2">
      <c r="A246" s="318"/>
      <c r="B246" s="650"/>
      <c r="C246" s="651"/>
      <c r="D246" s="311" t="s">
        <v>498</v>
      </c>
      <c r="E246" s="629"/>
      <c r="F246" s="653"/>
      <c r="G246" s="629"/>
      <c r="H246" s="662"/>
      <c r="I246" s="650"/>
    </row>
    <row r="247" spans="1:9" s="368" customFormat="1" ht="12.75" hidden="1" customHeight="1" x14ac:dyDescent="0.2">
      <c r="A247" s="318"/>
      <c r="B247" s="650"/>
      <c r="C247" s="651"/>
      <c r="D247" s="311" t="s">
        <v>499</v>
      </c>
      <c r="E247" s="629"/>
      <c r="F247" s="653"/>
      <c r="G247" s="629"/>
      <c r="H247" s="662"/>
    </row>
    <row r="248" spans="1:9" s="368" customFormat="1" ht="12.75" hidden="1" customHeight="1" x14ac:dyDescent="0.2">
      <c r="A248" s="318"/>
      <c r="B248" s="650"/>
      <c r="C248" s="651"/>
      <c r="D248" s="311" t="s">
        <v>522</v>
      </c>
      <c r="E248" s="629"/>
      <c r="F248" s="653"/>
      <c r="G248" s="629"/>
      <c r="H248" s="636"/>
      <c r="I248" s="647"/>
    </row>
    <row r="249" spans="1:9" s="368" customFormat="1" ht="12.75" hidden="1" customHeight="1" x14ac:dyDescent="0.2">
      <c r="A249" s="318"/>
      <c r="B249" s="650"/>
      <c r="C249" s="658"/>
      <c r="D249" s="661" t="s">
        <v>507</v>
      </c>
      <c r="E249" s="629"/>
      <c r="F249" s="653"/>
      <c r="G249" s="629"/>
      <c r="H249" s="662"/>
      <c r="I249" s="645"/>
    </row>
    <row r="250" spans="1:9" s="368" customFormat="1" ht="12.75" hidden="1" customHeight="1" x14ac:dyDescent="0.2">
      <c r="A250" s="318"/>
      <c r="B250" s="650"/>
      <c r="C250" s="651"/>
      <c r="D250" s="659" t="s">
        <v>531</v>
      </c>
      <c r="E250" s="629"/>
      <c r="F250" s="653"/>
      <c r="G250" s="629"/>
      <c r="H250" s="636"/>
      <c r="I250" s="647"/>
    </row>
    <row r="251" spans="1:9" s="368" customFormat="1" ht="12.75" customHeight="1" x14ac:dyDescent="0.2">
      <c r="A251" s="618">
        <f>A241+1</f>
        <v>27</v>
      </c>
      <c r="B251" s="632">
        <v>3441</v>
      </c>
      <c r="C251" s="664" t="s">
        <v>260</v>
      </c>
      <c r="D251" s="663" t="str">
        <f>$D$14</f>
        <v>FTE January 2026</v>
      </c>
      <c r="E251" s="622">
        <f>'3441'!$J$124</f>
        <v>387823.98</v>
      </c>
      <c r="F251" s="635"/>
      <c r="G251" s="622">
        <f>SUBTOTAL(109,E251:F259)</f>
        <v>387823.98</v>
      </c>
      <c r="H251" s="662"/>
    </row>
    <row r="252" spans="1:9" s="368" customFormat="1" ht="12.75" hidden="1" customHeight="1" x14ac:dyDescent="0.2">
      <c r="A252" s="618"/>
      <c r="B252" s="632"/>
      <c r="C252" s="664"/>
      <c r="D252" s="637" t="s">
        <v>494</v>
      </c>
      <c r="E252" s="622"/>
      <c r="F252" s="635"/>
      <c r="G252" s="622"/>
      <c r="H252" s="662"/>
    </row>
    <row r="253" spans="1:9" s="368" customFormat="1" ht="12.75" hidden="1" customHeight="1" x14ac:dyDescent="0.2">
      <c r="A253" s="618"/>
      <c r="B253" s="632"/>
      <c r="C253" s="633"/>
      <c r="D253" s="638" t="s">
        <v>495</v>
      </c>
      <c r="E253" s="622"/>
      <c r="F253" s="635"/>
      <c r="G253" s="622"/>
      <c r="H253" s="662"/>
      <c r="I253" s="650"/>
    </row>
    <row r="254" spans="1:9" s="368" customFormat="1" ht="12.75" hidden="1" customHeight="1" x14ac:dyDescent="0.2">
      <c r="A254" s="618"/>
      <c r="B254" s="632"/>
      <c r="C254" s="664"/>
      <c r="D254" s="637" t="s">
        <v>496</v>
      </c>
      <c r="E254" s="622"/>
      <c r="F254" s="635"/>
      <c r="G254" s="622"/>
      <c r="H254" s="662"/>
    </row>
    <row r="255" spans="1:9" s="368" customFormat="1" ht="12.75" hidden="1" customHeight="1" x14ac:dyDescent="0.2">
      <c r="A255" s="618"/>
      <c r="B255" s="632"/>
      <c r="C255" s="633"/>
      <c r="D255" s="637" t="s">
        <v>497</v>
      </c>
      <c r="E255" s="622"/>
      <c r="F255" s="635"/>
      <c r="G255" s="622"/>
      <c r="H255" s="662"/>
      <c r="I255" s="650"/>
    </row>
    <row r="256" spans="1:9" s="368" customFormat="1" ht="12.75" hidden="1" customHeight="1" x14ac:dyDescent="0.2">
      <c r="A256" s="618"/>
      <c r="B256" s="632"/>
      <c r="C256" s="633"/>
      <c r="D256" s="637" t="s">
        <v>498</v>
      </c>
      <c r="E256" s="622"/>
      <c r="F256" s="635"/>
      <c r="G256" s="622"/>
      <c r="H256" s="662"/>
      <c r="I256" s="650"/>
    </row>
    <row r="257" spans="1:9" s="368" customFormat="1" ht="12.75" hidden="1" customHeight="1" x14ac:dyDescent="0.2">
      <c r="A257" s="618"/>
      <c r="B257" s="632"/>
      <c r="C257" s="633"/>
      <c r="D257" s="637" t="s">
        <v>499</v>
      </c>
      <c r="E257" s="622"/>
      <c r="F257" s="635"/>
      <c r="G257" s="622"/>
      <c r="H257" s="662"/>
      <c r="I257" s="647"/>
    </row>
    <row r="258" spans="1:9" s="368" customFormat="1" ht="12.75" hidden="1" customHeight="1" x14ac:dyDescent="0.2">
      <c r="A258" s="618"/>
      <c r="B258" s="632"/>
      <c r="C258" s="633"/>
      <c r="D258" s="637" t="s">
        <v>522</v>
      </c>
      <c r="E258" s="622"/>
      <c r="F258" s="635"/>
      <c r="G258" s="622"/>
      <c r="H258" s="662"/>
      <c r="I258" s="668"/>
    </row>
    <row r="259" spans="1:9" s="368" customFormat="1" ht="12.75" hidden="1" customHeight="1" x14ac:dyDescent="0.2">
      <c r="A259" s="618"/>
      <c r="B259" s="632"/>
      <c r="C259" s="633"/>
      <c r="D259" s="666" t="s">
        <v>516</v>
      </c>
      <c r="E259" s="622"/>
      <c r="F259" s="635"/>
      <c r="G259" s="622"/>
      <c r="H259" s="662"/>
      <c r="I259" s="645"/>
    </row>
    <row r="260" spans="1:9" s="368" customFormat="1" ht="12.75" customHeight="1" x14ac:dyDescent="0.2">
      <c r="A260" s="318">
        <f>A251+1</f>
        <v>28</v>
      </c>
      <c r="B260" s="650">
        <v>3924</v>
      </c>
      <c r="C260" s="665" t="s">
        <v>261</v>
      </c>
      <c r="D260" s="652" t="str">
        <f>$D$14</f>
        <v>FTE January 2026</v>
      </c>
      <c r="E260" s="629">
        <f>'3924'!$J$124</f>
        <v>306743.77</v>
      </c>
      <c r="F260" s="653"/>
      <c r="G260" s="629">
        <f>SUBTOTAL(109,E260:F269)</f>
        <v>306743.77</v>
      </c>
      <c r="H260" s="662"/>
    </row>
    <row r="261" spans="1:9" s="368" customFormat="1" ht="12.75" hidden="1" customHeight="1" x14ac:dyDescent="0.2">
      <c r="A261" s="318"/>
      <c r="B261" s="650"/>
      <c r="C261" s="651"/>
      <c r="D261" s="311" t="s">
        <v>518</v>
      </c>
      <c r="E261" s="629"/>
      <c r="F261" s="653"/>
      <c r="G261" s="629"/>
      <c r="H261" s="662"/>
    </row>
    <row r="262" spans="1:9" s="368" customFormat="1" ht="12.75" hidden="1" customHeight="1" x14ac:dyDescent="0.2">
      <c r="A262" s="318"/>
      <c r="B262" s="650"/>
      <c r="C262" s="651"/>
      <c r="D262" s="655" t="s">
        <v>495</v>
      </c>
      <c r="E262" s="629"/>
      <c r="F262" s="653"/>
      <c r="G262" s="629"/>
      <c r="H262" s="662"/>
    </row>
    <row r="263" spans="1:9" s="368" customFormat="1" ht="12.75" hidden="1" customHeight="1" x14ac:dyDescent="0.2">
      <c r="A263" s="318"/>
      <c r="B263" s="650"/>
      <c r="C263" s="651"/>
      <c r="D263" s="655" t="s">
        <v>514</v>
      </c>
      <c r="E263" s="629"/>
      <c r="F263" s="653"/>
      <c r="G263" s="629"/>
      <c r="H263" s="636"/>
      <c r="I263" s="658"/>
    </row>
    <row r="264" spans="1:9" s="368" customFormat="1" ht="12.75" hidden="1" customHeight="1" x14ac:dyDescent="0.2">
      <c r="A264" s="318"/>
      <c r="B264" s="650"/>
      <c r="C264" s="651"/>
      <c r="D264" s="311" t="s">
        <v>496</v>
      </c>
      <c r="E264" s="629"/>
      <c r="F264" s="653"/>
      <c r="G264" s="629"/>
      <c r="H264" s="662"/>
    </row>
    <row r="265" spans="1:9" s="368" customFormat="1" ht="12.75" hidden="1" customHeight="1" x14ac:dyDescent="0.2">
      <c r="A265" s="318"/>
      <c r="B265" s="650"/>
      <c r="C265" s="651"/>
      <c r="D265" s="311" t="s">
        <v>497</v>
      </c>
      <c r="E265" s="629"/>
      <c r="F265" s="653"/>
      <c r="G265" s="629"/>
      <c r="H265" s="662"/>
    </row>
    <row r="266" spans="1:9" s="368" customFormat="1" ht="12.75" hidden="1" customHeight="1" x14ac:dyDescent="0.2">
      <c r="A266" s="318"/>
      <c r="B266" s="650"/>
      <c r="C266" s="651"/>
      <c r="D266" s="311" t="s">
        <v>498</v>
      </c>
      <c r="E266" s="629"/>
      <c r="F266" s="653"/>
      <c r="G266" s="629"/>
      <c r="H266" s="662"/>
      <c r="I266" s="650"/>
    </row>
    <row r="267" spans="1:9" s="368" customFormat="1" ht="12.75" hidden="1" customHeight="1" x14ac:dyDescent="0.2">
      <c r="A267" s="318"/>
      <c r="B267" s="650"/>
      <c r="C267" s="651"/>
      <c r="D267" s="311" t="s">
        <v>499</v>
      </c>
      <c r="E267" s="629"/>
      <c r="F267" s="653"/>
      <c r="G267" s="629"/>
      <c r="H267" s="636"/>
      <c r="I267" s="647"/>
    </row>
    <row r="268" spans="1:9" s="368" customFormat="1" ht="12.75" hidden="1" customHeight="1" x14ac:dyDescent="0.2">
      <c r="A268" s="318"/>
      <c r="B268" s="650"/>
      <c r="C268" s="658"/>
      <c r="D268" s="661" t="s">
        <v>507</v>
      </c>
      <c r="E268" s="629"/>
      <c r="F268" s="653"/>
      <c r="G268" s="629"/>
      <c r="H268" s="662"/>
    </row>
    <row r="269" spans="1:9" s="368" customFormat="1" ht="12.75" hidden="1" customHeight="1" x14ac:dyDescent="0.2">
      <c r="A269" s="318"/>
      <c r="B269" s="650"/>
      <c r="C269" s="651"/>
      <c r="D269" s="659" t="s">
        <v>532</v>
      </c>
      <c r="E269" s="629"/>
      <c r="F269" s="653"/>
      <c r="G269" s="629"/>
      <c r="H269" s="662"/>
    </row>
    <row r="270" spans="1:9" s="368" customFormat="1" ht="12.75" customHeight="1" x14ac:dyDescent="0.2">
      <c r="A270" s="618">
        <f>A260+1</f>
        <v>29</v>
      </c>
      <c r="B270" s="632" t="s">
        <v>262</v>
      </c>
      <c r="C270" s="633" t="s">
        <v>263</v>
      </c>
      <c r="D270" s="663" t="str">
        <f>$D$14</f>
        <v>FTE January 2026</v>
      </c>
      <c r="E270" s="622">
        <f>'3941'!$J$124</f>
        <v>168880.64000000001</v>
      </c>
      <c r="F270" s="635"/>
      <c r="G270" s="622">
        <f>SUBTOTAL(109,E270:F279)</f>
        <v>168880.64000000001</v>
      </c>
      <c r="H270" s="662"/>
    </row>
    <row r="271" spans="1:9" s="368" customFormat="1" ht="12.75" hidden="1" customHeight="1" x14ac:dyDescent="0.2">
      <c r="A271" s="618"/>
      <c r="B271" s="632"/>
      <c r="C271" s="633"/>
      <c r="D271" s="637" t="s">
        <v>494</v>
      </c>
      <c r="E271" s="622"/>
      <c r="F271" s="635"/>
      <c r="G271" s="622"/>
      <c r="H271" s="662"/>
    </row>
    <row r="272" spans="1:9" s="368" customFormat="1" ht="12.75" hidden="1" customHeight="1" x14ac:dyDescent="0.2">
      <c r="A272" s="618"/>
      <c r="B272" s="632"/>
      <c r="C272" s="633"/>
      <c r="D272" s="638" t="s">
        <v>495</v>
      </c>
      <c r="E272" s="622"/>
      <c r="F272" s="635"/>
      <c r="G272" s="622"/>
      <c r="H272" s="662"/>
      <c r="I272" s="650"/>
    </row>
    <row r="273" spans="1:9" s="368" customFormat="1" ht="12.75" hidden="1" customHeight="1" x14ac:dyDescent="0.2">
      <c r="A273" s="618"/>
      <c r="B273" s="632"/>
      <c r="C273" s="633"/>
      <c r="D273" s="637" t="s">
        <v>496</v>
      </c>
      <c r="E273" s="622"/>
      <c r="F273" s="635"/>
      <c r="G273" s="622"/>
      <c r="H273" s="662"/>
      <c r="I273" s="650"/>
    </row>
    <row r="274" spans="1:9" s="368" customFormat="1" ht="12.75" hidden="1" customHeight="1" x14ac:dyDescent="0.2">
      <c r="A274" s="618"/>
      <c r="B274" s="632"/>
      <c r="C274" s="633"/>
      <c r="D274" s="637" t="s">
        <v>497</v>
      </c>
      <c r="E274" s="622"/>
      <c r="F274" s="635"/>
      <c r="G274" s="622"/>
      <c r="H274" s="662"/>
    </row>
    <row r="275" spans="1:9" s="368" customFormat="1" ht="12.75" hidden="1" customHeight="1" x14ac:dyDescent="0.2">
      <c r="A275" s="618"/>
      <c r="B275" s="632"/>
      <c r="C275" s="633"/>
      <c r="D275" s="637" t="s">
        <v>498</v>
      </c>
      <c r="E275" s="622"/>
      <c r="F275" s="635"/>
      <c r="G275" s="622"/>
      <c r="H275" s="662"/>
    </row>
    <row r="276" spans="1:9" s="368" customFormat="1" ht="12.75" hidden="1" customHeight="1" x14ac:dyDescent="0.2">
      <c r="A276" s="618"/>
      <c r="B276" s="632"/>
      <c r="C276" s="633"/>
      <c r="D276" s="637" t="s">
        <v>499</v>
      </c>
      <c r="E276" s="622"/>
      <c r="F276" s="635"/>
      <c r="G276" s="622"/>
      <c r="H276" s="662"/>
    </row>
    <row r="277" spans="1:9" s="368" customFormat="1" ht="12.75" hidden="1" customHeight="1" x14ac:dyDescent="0.2">
      <c r="A277" s="618"/>
      <c r="B277" s="632"/>
      <c r="C277" s="633"/>
      <c r="D277" s="637" t="s">
        <v>533</v>
      </c>
      <c r="E277" s="622"/>
      <c r="F277" s="635"/>
      <c r="G277" s="622"/>
      <c r="H277" s="662"/>
      <c r="I277" s="647"/>
    </row>
    <row r="278" spans="1:9" s="368" customFormat="1" ht="12.75" hidden="1" customHeight="1" x14ac:dyDescent="0.2">
      <c r="A278" s="618"/>
      <c r="B278" s="632"/>
      <c r="C278" s="633"/>
      <c r="D278" s="637" t="s">
        <v>507</v>
      </c>
      <c r="E278" s="622"/>
      <c r="F278" s="635"/>
      <c r="G278" s="622"/>
      <c r="H278" s="662"/>
      <c r="I278" s="645"/>
    </row>
    <row r="279" spans="1:9" s="368" customFormat="1" ht="12.75" hidden="1" customHeight="1" x14ac:dyDescent="0.2">
      <c r="A279" s="618"/>
      <c r="B279" s="632"/>
      <c r="C279" s="633"/>
      <c r="D279" s="637"/>
      <c r="E279" s="622"/>
      <c r="F279" s="635"/>
      <c r="G279" s="622"/>
      <c r="H279" s="662"/>
      <c r="I279" s="647"/>
    </row>
    <row r="280" spans="1:9" s="368" customFormat="1" ht="12.75" customHeight="1" x14ac:dyDescent="0.2">
      <c r="A280" s="318">
        <f>A270+1</f>
        <v>30</v>
      </c>
      <c r="B280" s="650" t="s">
        <v>264</v>
      </c>
      <c r="C280" s="651" t="s">
        <v>265</v>
      </c>
      <c r="D280" s="652" t="str">
        <f>$D$14</f>
        <v>FTE January 2026</v>
      </c>
      <c r="E280" s="629">
        <f>'3961'!$J$124</f>
        <v>0</v>
      </c>
      <c r="F280" s="653"/>
      <c r="G280" s="629">
        <f>SUBTOTAL(109,E280:F287)</f>
        <v>0</v>
      </c>
      <c r="H280" s="662"/>
    </row>
    <row r="281" spans="1:9" s="368" customFormat="1" ht="12.75" hidden="1" customHeight="1" x14ac:dyDescent="0.2">
      <c r="A281" s="318"/>
      <c r="B281" s="650"/>
      <c r="C281" s="651"/>
      <c r="D281" s="311" t="s">
        <v>518</v>
      </c>
      <c r="E281" s="629"/>
      <c r="F281" s="653"/>
      <c r="G281" s="629"/>
      <c r="H281" s="662"/>
    </row>
    <row r="282" spans="1:9" s="368" customFormat="1" ht="12.75" hidden="1" customHeight="1" x14ac:dyDescent="0.2">
      <c r="A282" s="318"/>
      <c r="B282" s="650"/>
      <c r="C282" s="651"/>
      <c r="D282" s="655" t="s">
        <v>495</v>
      </c>
      <c r="E282" s="629"/>
      <c r="F282" s="653"/>
      <c r="G282" s="629"/>
      <c r="H282" s="662"/>
      <c r="I282" s="650"/>
    </row>
    <row r="283" spans="1:9" s="368" customFormat="1" ht="12.75" hidden="1" customHeight="1" x14ac:dyDescent="0.2">
      <c r="A283" s="318"/>
      <c r="B283" s="650"/>
      <c r="C283" s="651"/>
      <c r="D283" s="311" t="s">
        <v>496</v>
      </c>
      <c r="E283" s="629"/>
      <c r="F283" s="653"/>
      <c r="G283" s="629"/>
      <c r="H283" s="662"/>
    </row>
    <row r="284" spans="1:9" s="368" customFormat="1" ht="12.75" hidden="1" customHeight="1" x14ac:dyDescent="0.2">
      <c r="A284" s="318"/>
      <c r="B284" s="650"/>
      <c r="C284" s="651"/>
      <c r="D284" s="311" t="s">
        <v>497</v>
      </c>
      <c r="E284" s="629"/>
      <c r="F284" s="653"/>
      <c r="G284" s="629"/>
      <c r="H284" s="662"/>
    </row>
    <row r="285" spans="1:9" s="368" customFormat="1" ht="12.75" hidden="1" customHeight="1" x14ac:dyDescent="0.2">
      <c r="A285" s="318"/>
      <c r="B285" s="650"/>
      <c r="C285" s="651"/>
      <c r="D285" s="311" t="s">
        <v>498</v>
      </c>
      <c r="E285" s="629"/>
      <c r="F285" s="653"/>
      <c r="G285" s="629"/>
      <c r="H285" s="662"/>
    </row>
    <row r="286" spans="1:9" s="368" customFormat="1" ht="12.75" hidden="1" customHeight="1" x14ac:dyDescent="0.2">
      <c r="A286" s="318"/>
      <c r="B286" s="650"/>
      <c r="C286" s="651"/>
      <c r="D286" s="311" t="s">
        <v>499</v>
      </c>
      <c r="E286" s="629"/>
      <c r="F286" s="653"/>
      <c r="G286" s="629"/>
      <c r="H286" s="636"/>
      <c r="I286" s="647"/>
    </row>
    <row r="287" spans="1:9" s="368" customFormat="1" ht="12.75" hidden="1" customHeight="1" x14ac:dyDescent="0.2">
      <c r="A287" s="318"/>
      <c r="B287" s="650"/>
      <c r="C287" s="658"/>
      <c r="D287" s="659" t="s">
        <v>534</v>
      </c>
      <c r="E287" s="629"/>
      <c r="F287" s="653"/>
      <c r="G287" s="629"/>
      <c r="H287" s="636"/>
      <c r="I287" s="647"/>
    </row>
    <row r="288" spans="1:9" s="368" customFormat="1" ht="12.75" customHeight="1" x14ac:dyDescent="0.2">
      <c r="A288" s="618">
        <f>A280+1</f>
        <v>31</v>
      </c>
      <c r="B288" s="632" t="s">
        <v>266</v>
      </c>
      <c r="C288" s="633" t="s">
        <v>267</v>
      </c>
      <c r="D288" s="663" t="str">
        <f>$D$14</f>
        <v>FTE January 2026</v>
      </c>
      <c r="E288" s="622">
        <f>'3971'!$J$124</f>
        <v>468192.65</v>
      </c>
      <c r="F288" s="635"/>
      <c r="G288" s="622">
        <f>SUBTOTAL(109,E288:F295)</f>
        <v>468192.65</v>
      </c>
      <c r="H288" s="636"/>
      <c r="I288" s="647"/>
    </row>
    <row r="289" spans="1:9" s="368" customFormat="1" ht="12.75" hidden="1" customHeight="1" x14ac:dyDescent="0.2">
      <c r="A289" s="618"/>
      <c r="B289" s="632"/>
      <c r="C289" s="633"/>
      <c r="D289" s="637" t="s">
        <v>494</v>
      </c>
      <c r="E289" s="622"/>
      <c r="F289" s="635"/>
      <c r="G289" s="622"/>
      <c r="H289" s="662"/>
    </row>
    <row r="290" spans="1:9" s="368" customFormat="1" ht="12.75" hidden="1" customHeight="1" x14ac:dyDescent="0.2">
      <c r="A290" s="618"/>
      <c r="B290" s="632"/>
      <c r="C290" s="633"/>
      <c r="D290" s="638" t="s">
        <v>495</v>
      </c>
      <c r="E290" s="622"/>
      <c r="F290" s="635"/>
      <c r="G290" s="622"/>
      <c r="H290" s="662"/>
    </row>
    <row r="291" spans="1:9" s="368" customFormat="1" ht="12.75" hidden="1" customHeight="1" x14ac:dyDescent="0.2">
      <c r="A291" s="618"/>
      <c r="B291" s="632"/>
      <c r="C291" s="633"/>
      <c r="D291" s="637" t="s">
        <v>496</v>
      </c>
      <c r="E291" s="622"/>
      <c r="F291" s="635"/>
      <c r="G291" s="622"/>
      <c r="H291" s="662"/>
    </row>
    <row r="292" spans="1:9" s="368" customFormat="1" ht="12.75" hidden="1" customHeight="1" x14ac:dyDescent="0.2">
      <c r="A292" s="618"/>
      <c r="B292" s="632"/>
      <c r="C292" s="633"/>
      <c r="D292" s="637" t="s">
        <v>497</v>
      </c>
      <c r="E292" s="622"/>
      <c r="F292" s="635"/>
      <c r="G292" s="622"/>
      <c r="H292" s="662"/>
      <c r="I292" s="650"/>
    </row>
    <row r="293" spans="1:9" s="368" customFormat="1" ht="12.75" hidden="1" customHeight="1" x14ac:dyDescent="0.2">
      <c r="A293" s="618"/>
      <c r="B293" s="632"/>
      <c r="C293" s="633"/>
      <c r="D293" s="637" t="s">
        <v>498</v>
      </c>
      <c r="E293" s="622"/>
      <c r="F293" s="635"/>
      <c r="G293" s="622"/>
      <c r="H293" s="662"/>
    </row>
    <row r="294" spans="1:9" s="368" customFormat="1" ht="12.75" hidden="1" customHeight="1" x14ac:dyDescent="0.2">
      <c r="A294" s="618"/>
      <c r="B294" s="632"/>
      <c r="C294" s="633"/>
      <c r="D294" s="637" t="s">
        <v>499</v>
      </c>
      <c r="E294" s="622"/>
      <c r="F294" s="635"/>
      <c r="G294" s="622"/>
      <c r="H294" s="662"/>
    </row>
    <row r="295" spans="1:9" s="368" customFormat="1" ht="12.75" hidden="1" customHeight="1" x14ac:dyDescent="0.2">
      <c r="A295" s="618"/>
      <c r="B295" s="632"/>
      <c r="C295" s="633"/>
      <c r="D295" s="666" t="s">
        <v>535</v>
      </c>
      <c r="E295" s="622"/>
      <c r="F295" s="635"/>
      <c r="G295" s="622"/>
      <c r="H295" s="662"/>
      <c r="I295" s="309"/>
    </row>
    <row r="296" spans="1:9" s="368" customFormat="1" ht="12.75" customHeight="1" x14ac:dyDescent="0.2">
      <c r="A296" s="318">
        <f>A288+1</f>
        <v>32</v>
      </c>
      <c r="B296" s="650" t="s">
        <v>268</v>
      </c>
      <c r="C296" s="651" t="s">
        <v>269</v>
      </c>
      <c r="D296" s="652" t="str">
        <f>$D$14</f>
        <v>FTE January 2026</v>
      </c>
      <c r="E296" s="671">
        <f>'4001'!$J$124</f>
        <v>492923.41</v>
      </c>
      <c r="F296" s="653"/>
      <c r="G296" s="629">
        <f>SUBTOTAL(109,E296:F304)</f>
        <v>492923.41</v>
      </c>
      <c r="H296" s="662"/>
      <c r="I296" s="647"/>
    </row>
    <row r="297" spans="1:9" ht="12.75" hidden="1" customHeight="1" x14ac:dyDescent="0.2">
      <c r="A297" s="318"/>
      <c r="B297" s="650"/>
      <c r="C297" s="651"/>
      <c r="D297" s="311" t="s">
        <v>518</v>
      </c>
      <c r="E297" s="629"/>
      <c r="F297" s="672"/>
      <c r="G297" s="629"/>
      <c r="H297" s="667"/>
      <c r="I297" s="368"/>
    </row>
    <row r="298" spans="1:9" s="368" customFormat="1" ht="12.75" hidden="1" customHeight="1" x14ac:dyDescent="0.2">
      <c r="A298" s="318"/>
      <c r="B298" s="650"/>
      <c r="C298" s="651"/>
      <c r="D298" s="655" t="s">
        <v>495</v>
      </c>
      <c r="E298" s="629"/>
      <c r="F298" s="653"/>
      <c r="G298" s="629"/>
      <c r="H298" s="662"/>
    </row>
    <row r="299" spans="1:9" s="368" customFormat="1" ht="12.75" hidden="1" customHeight="1" x14ac:dyDescent="0.2">
      <c r="A299" s="318"/>
      <c r="B299" s="650"/>
      <c r="C299" s="651"/>
      <c r="D299" s="311" t="s">
        <v>496</v>
      </c>
      <c r="E299" s="629"/>
      <c r="F299" s="653"/>
      <c r="G299" s="629"/>
      <c r="H299" s="662"/>
    </row>
    <row r="300" spans="1:9" s="368" customFormat="1" ht="12.75" hidden="1" customHeight="1" x14ac:dyDescent="0.2">
      <c r="A300" s="318"/>
      <c r="B300" s="650"/>
      <c r="C300" s="651"/>
      <c r="D300" s="311" t="s">
        <v>497</v>
      </c>
      <c r="E300" s="629"/>
      <c r="F300" s="653"/>
      <c r="G300" s="629"/>
      <c r="H300" s="662"/>
      <c r="I300" s="650"/>
    </row>
    <row r="301" spans="1:9" s="368" customFormat="1" ht="12.75" hidden="1" customHeight="1" x14ac:dyDescent="0.2">
      <c r="A301" s="318"/>
      <c r="B301" s="650"/>
      <c r="C301" s="651"/>
      <c r="D301" s="311" t="s">
        <v>498</v>
      </c>
      <c r="E301" s="629"/>
      <c r="F301" s="653"/>
      <c r="G301" s="629"/>
      <c r="H301" s="662"/>
    </row>
    <row r="302" spans="1:9" s="368" customFormat="1" ht="12.75" hidden="1" customHeight="1" x14ac:dyDescent="0.2">
      <c r="A302" s="318"/>
      <c r="B302" s="650"/>
      <c r="C302" s="651"/>
      <c r="D302" s="311" t="s">
        <v>499</v>
      </c>
      <c r="E302" s="629"/>
      <c r="F302" s="653"/>
      <c r="G302" s="629"/>
      <c r="H302" s="662"/>
    </row>
    <row r="303" spans="1:9" s="368" customFormat="1" ht="12.75" hidden="1" customHeight="1" x14ac:dyDescent="0.2">
      <c r="A303" s="318"/>
      <c r="B303" s="650"/>
      <c r="C303" s="651"/>
      <c r="D303" s="311" t="s">
        <v>507</v>
      </c>
      <c r="E303" s="629"/>
      <c r="F303" s="653"/>
      <c r="G303" s="629"/>
      <c r="H303" s="662"/>
    </row>
    <row r="304" spans="1:9" s="368" customFormat="1" ht="12.75" hidden="1" customHeight="1" x14ac:dyDescent="0.2">
      <c r="A304" s="318"/>
      <c r="B304" s="650"/>
      <c r="C304" s="651"/>
      <c r="D304" s="659" t="s">
        <v>516</v>
      </c>
      <c r="E304" s="629"/>
      <c r="F304" s="653"/>
      <c r="G304" s="629"/>
      <c r="H304" s="636"/>
      <c r="I304" s="647"/>
    </row>
    <row r="305" spans="1:9" s="368" customFormat="1" ht="12.75" customHeight="1" x14ac:dyDescent="0.2">
      <c r="A305" s="618">
        <f>A296+1</f>
        <v>33</v>
      </c>
      <c r="B305" s="632">
        <v>4002</v>
      </c>
      <c r="C305" s="633" t="s">
        <v>270</v>
      </c>
      <c r="D305" s="663" t="str">
        <f>$D$14</f>
        <v>FTE January 2026</v>
      </c>
      <c r="E305" s="622">
        <f>'4002'!$J$124</f>
        <v>708965.29</v>
      </c>
      <c r="F305" s="635"/>
      <c r="G305" s="622">
        <f>SUBTOTAL(109,E305:F314)</f>
        <v>708965.29</v>
      </c>
      <c r="H305" s="662"/>
    </row>
    <row r="306" spans="1:9" s="368" customFormat="1" ht="12.75" hidden="1" customHeight="1" x14ac:dyDescent="0.2">
      <c r="A306" s="618"/>
      <c r="B306" s="632"/>
      <c r="C306" s="633"/>
      <c r="D306" s="637" t="s">
        <v>494</v>
      </c>
      <c r="E306" s="622"/>
      <c r="F306" s="635"/>
      <c r="G306" s="622"/>
      <c r="H306" s="662"/>
    </row>
    <row r="307" spans="1:9" s="368" customFormat="1" ht="12.75" hidden="1" customHeight="1" x14ac:dyDescent="0.2">
      <c r="A307" s="618"/>
      <c r="B307" s="632"/>
      <c r="C307" s="633"/>
      <c r="D307" s="638" t="s">
        <v>495</v>
      </c>
      <c r="E307" s="622"/>
      <c r="F307" s="635"/>
      <c r="G307" s="622"/>
      <c r="H307" s="662"/>
    </row>
    <row r="308" spans="1:9" s="368" customFormat="1" ht="12.75" hidden="1" customHeight="1" x14ac:dyDescent="0.2">
      <c r="A308" s="618"/>
      <c r="B308" s="632"/>
      <c r="C308" s="633"/>
      <c r="D308" s="637" t="s">
        <v>496</v>
      </c>
      <c r="E308" s="622"/>
      <c r="F308" s="635"/>
      <c r="G308" s="622"/>
      <c r="H308" s="662"/>
      <c r="I308" s="650"/>
    </row>
    <row r="309" spans="1:9" s="368" customFormat="1" ht="12.75" hidden="1" customHeight="1" x14ac:dyDescent="0.2">
      <c r="A309" s="618"/>
      <c r="B309" s="632"/>
      <c r="C309" s="633"/>
      <c r="D309" s="637" t="s">
        <v>497</v>
      </c>
      <c r="E309" s="622"/>
      <c r="F309" s="635"/>
      <c r="G309" s="622"/>
      <c r="H309" s="662"/>
    </row>
    <row r="310" spans="1:9" s="368" customFormat="1" ht="12.75" hidden="1" customHeight="1" x14ac:dyDescent="0.2">
      <c r="A310" s="618"/>
      <c r="B310" s="632"/>
      <c r="C310" s="633"/>
      <c r="D310" s="637" t="s">
        <v>498</v>
      </c>
      <c r="E310" s="622"/>
      <c r="F310" s="635"/>
      <c r="G310" s="622"/>
      <c r="H310" s="662"/>
    </row>
    <row r="311" spans="1:9" s="368" customFormat="1" ht="12.75" hidden="1" customHeight="1" x14ac:dyDescent="0.2">
      <c r="A311" s="618"/>
      <c r="B311" s="632"/>
      <c r="C311" s="633"/>
      <c r="D311" s="637" t="s">
        <v>499</v>
      </c>
      <c r="E311" s="622"/>
      <c r="F311" s="635"/>
      <c r="G311" s="622"/>
      <c r="H311" s="662"/>
    </row>
    <row r="312" spans="1:9" s="368" customFormat="1" ht="12.75" hidden="1" customHeight="1" x14ac:dyDescent="0.2">
      <c r="A312" s="618"/>
      <c r="B312" s="632"/>
      <c r="C312" s="633"/>
      <c r="D312" s="637" t="s">
        <v>526</v>
      </c>
      <c r="E312" s="622"/>
      <c r="F312" s="635"/>
      <c r="G312" s="622"/>
      <c r="H312" s="636"/>
      <c r="I312" s="647"/>
    </row>
    <row r="313" spans="1:9" s="368" customFormat="1" ht="12.75" hidden="1" customHeight="1" x14ac:dyDescent="0.2">
      <c r="A313" s="618"/>
      <c r="B313" s="632"/>
      <c r="C313" s="633"/>
      <c r="D313" s="637" t="s">
        <v>507</v>
      </c>
      <c r="E313" s="622"/>
      <c r="F313" s="635"/>
      <c r="G313" s="622"/>
      <c r="H313" s="662"/>
      <c r="I313" s="647"/>
    </row>
    <row r="314" spans="1:9" s="368" customFormat="1" ht="12.75" hidden="1" customHeight="1" x14ac:dyDescent="0.2">
      <c r="A314" s="618"/>
      <c r="B314" s="632"/>
      <c r="C314" s="633"/>
      <c r="D314" s="637" t="s">
        <v>536</v>
      </c>
      <c r="E314" s="622"/>
      <c r="F314" s="635"/>
      <c r="G314" s="622"/>
      <c r="H314" s="662"/>
    </row>
    <row r="315" spans="1:9" s="368" customFormat="1" ht="12.75" customHeight="1" x14ac:dyDescent="0.2">
      <c r="A315" s="318">
        <f>A305+1</f>
        <v>34</v>
      </c>
      <c r="B315" s="650">
        <v>4012</v>
      </c>
      <c r="C315" s="651" t="s">
        <v>271</v>
      </c>
      <c r="D315" s="652" t="str">
        <f>$D$14</f>
        <v>FTE January 2026</v>
      </c>
      <c r="E315" s="629">
        <f>'4012'!$J$124</f>
        <v>416469.55</v>
      </c>
      <c r="F315" s="653"/>
      <c r="G315" s="629">
        <f>SUBTOTAL(109,E315:F322)</f>
        <v>416469.55</v>
      </c>
      <c r="H315" s="662"/>
    </row>
    <row r="316" spans="1:9" s="368" customFormat="1" ht="12.75" hidden="1" customHeight="1" x14ac:dyDescent="0.2">
      <c r="A316" s="318"/>
      <c r="B316" s="650"/>
      <c r="C316" s="651"/>
      <c r="D316" s="311" t="s">
        <v>518</v>
      </c>
      <c r="E316" s="629"/>
      <c r="F316" s="653"/>
      <c r="G316" s="629"/>
      <c r="H316" s="662"/>
    </row>
    <row r="317" spans="1:9" s="368" customFormat="1" ht="12.75" hidden="1" customHeight="1" x14ac:dyDescent="0.2">
      <c r="A317" s="318"/>
      <c r="B317" s="650"/>
      <c r="C317" s="651"/>
      <c r="D317" s="311" t="s">
        <v>495</v>
      </c>
      <c r="E317" s="629"/>
      <c r="F317" s="653"/>
      <c r="G317" s="629"/>
      <c r="H317" s="662"/>
      <c r="I317" s="650"/>
    </row>
    <row r="318" spans="1:9" s="368" customFormat="1" ht="12.75" hidden="1" customHeight="1" x14ac:dyDescent="0.2">
      <c r="A318" s="318"/>
      <c r="B318" s="650"/>
      <c r="C318" s="651"/>
      <c r="D318" s="311" t="s">
        <v>521</v>
      </c>
      <c r="E318" s="629"/>
      <c r="F318" s="653"/>
      <c r="G318" s="629"/>
      <c r="H318" s="662"/>
    </row>
    <row r="319" spans="1:9" s="368" customFormat="1" ht="12.75" hidden="1" customHeight="1" x14ac:dyDescent="0.2">
      <c r="A319" s="318"/>
      <c r="B319" s="650"/>
      <c r="C319" s="651"/>
      <c r="D319" s="311" t="s">
        <v>498</v>
      </c>
      <c r="E319" s="629"/>
      <c r="F319" s="653"/>
      <c r="G319" s="629"/>
      <c r="H319" s="662"/>
    </row>
    <row r="320" spans="1:9" s="368" customFormat="1" ht="12.75" hidden="1" customHeight="1" x14ac:dyDescent="0.2">
      <c r="A320" s="318"/>
      <c r="B320" s="650"/>
      <c r="C320" s="651"/>
      <c r="D320" s="311" t="s">
        <v>499</v>
      </c>
      <c r="E320" s="629"/>
      <c r="F320" s="653"/>
      <c r="G320" s="629"/>
      <c r="H320" s="662"/>
    </row>
    <row r="321" spans="1:9" s="368" customFormat="1" ht="12.75" hidden="1" customHeight="1" x14ac:dyDescent="0.2">
      <c r="A321" s="318"/>
      <c r="B321" s="650"/>
      <c r="C321" s="651"/>
      <c r="D321" s="311" t="s">
        <v>522</v>
      </c>
      <c r="E321" s="629"/>
      <c r="F321" s="653"/>
      <c r="G321" s="629"/>
      <c r="H321" s="662"/>
    </row>
    <row r="322" spans="1:9" s="368" customFormat="1" ht="12.75" hidden="1" customHeight="1" x14ac:dyDescent="0.2">
      <c r="A322" s="318"/>
      <c r="B322" s="650"/>
      <c r="C322" s="651"/>
      <c r="D322" s="659" t="s">
        <v>516</v>
      </c>
      <c r="E322" s="629"/>
      <c r="F322" s="653"/>
      <c r="G322" s="629"/>
      <c r="H322" s="662"/>
      <c r="I322" s="643"/>
    </row>
    <row r="323" spans="1:9" s="368" customFormat="1" ht="12.75" customHeight="1" x14ac:dyDescent="0.2">
      <c r="A323" s="618">
        <f>A315+1</f>
        <v>35</v>
      </c>
      <c r="B323" s="632">
        <v>4013</v>
      </c>
      <c r="C323" s="633" t="s">
        <v>272</v>
      </c>
      <c r="D323" s="663" t="str">
        <f>$D$14</f>
        <v>FTE January 2026</v>
      </c>
      <c r="E323" s="622">
        <f>'4013'!$J$124</f>
        <v>786596.81</v>
      </c>
      <c r="F323" s="635"/>
      <c r="G323" s="622">
        <f>SUBTOTAL(109,E323:F331)</f>
        <v>786596.81</v>
      </c>
      <c r="H323" s="662"/>
      <c r="I323" s="643"/>
    </row>
    <row r="324" spans="1:9" s="368" customFormat="1" ht="12.75" hidden="1" customHeight="1" x14ac:dyDescent="0.2">
      <c r="A324" s="618"/>
      <c r="B324" s="632"/>
      <c r="C324" s="633"/>
      <c r="D324" s="637" t="s">
        <v>494</v>
      </c>
      <c r="E324" s="622"/>
      <c r="F324" s="635"/>
      <c r="G324" s="622"/>
      <c r="H324" s="662"/>
    </row>
    <row r="325" spans="1:9" s="368" customFormat="1" ht="12.75" hidden="1" customHeight="1" x14ac:dyDescent="0.2">
      <c r="A325" s="618"/>
      <c r="B325" s="632"/>
      <c r="C325" s="633"/>
      <c r="D325" s="638" t="s">
        <v>495</v>
      </c>
      <c r="E325" s="622"/>
      <c r="F325" s="635"/>
      <c r="G325" s="622"/>
      <c r="H325" s="662"/>
    </row>
    <row r="326" spans="1:9" s="368" customFormat="1" ht="12.75" hidden="1" customHeight="1" x14ac:dyDescent="0.2">
      <c r="A326" s="618"/>
      <c r="B326" s="632"/>
      <c r="C326" s="633"/>
      <c r="D326" s="637" t="s">
        <v>496</v>
      </c>
      <c r="E326" s="622"/>
      <c r="F326" s="635"/>
      <c r="G326" s="622"/>
      <c r="H326" s="662"/>
    </row>
    <row r="327" spans="1:9" s="368" customFormat="1" ht="12.75" hidden="1" customHeight="1" x14ac:dyDescent="0.2">
      <c r="A327" s="618"/>
      <c r="B327" s="632"/>
      <c r="C327" s="633"/>
      <c r="D327" s="637" t="s">
        <v>521</v>
      </c>
      <c r="E327" s="622"/>
      <c r="F327" s="635"/>
      <c r="G327" s="622"/>
      <c r="H327" s="662"/>
    </row>
    <row r="328" spans="1:9" s="368" customFormat="1" ht="12.75" hidden="1" customHeight="1" x14ac:dyDescent="0.2">
      <c r="A328" s="618"/>
      <c r="B328" s="632"/>
      <c r="C328" s="633"/>
      <c r="D328" s="637" t="s">
        <v>498</v>
      </c>
      <c r="E328" s="622"/>
      <c r="F328" s="635"/>
      <c r="G328" s="622"/>
      <c r="H328" s="662"/>
    </row>
    <row r="329" spans="1:9" s="368" customFormat="1" ht="12.75" hidden="1" customHeight="1" x14ac:dyDescent="0.2">
      <c r="A329" s="618"/>
      <c r="B329" s="632"/>
      <c r="C329" s="633"/>
      <c r="D329" s="637" t="s">
        <v>499</v>
      </c>
      <c r="E329" s="622"/>
      <c r="F329" s="635"/>
      <c r="G329" s="622"/>
      <c r="H329" s="662"/>
    </row>
    <row r="330" spans="1:9" s="368" customFormat="1" ht="12.75" hidden="1" customHeight="1" x14ac:dyDescent="0.2">
      <c r="A330" s="618"/>
      <c r="B330" s="632"/>
      <c r="C330" s="633"/>
      <c r="D330" s="637" t="s">
        <v>507</v>
      </c>
      <c r="E330" s="622"/>
      <c r="F330" s="635"/>
      <c r="G330" s="622"/>
      <c r="H330" s="636"/>
      <c r="I330" s="647"/>
    </row>
    <row r="331" spans="1:9" s="368" customFormat="1" ht="12.75" hidden="1" customHeight="1" x14ac:dyDescent="0.2">
      <c r="A331" s="618"/>
      <c r="B331" s="632"/>
      <c r="C331" s="633"/>
      <c r="D331" s="637" t="s">
        <v>516</v>
      </c>
      <c r="E331" s="622"/>
      <c r="F331" s="635"/>
      <c r="G331" s="622"/>
      <c r="H331" s="662"/>
      <c r="I331" s="648"/>
    </row>
    <row r="332" spans="1:9" s="368" customFormat="1" ht="12.75" customHeight="1" x14ac:dyDescent="0.2">
      <c r="A332" s="318">
        <f>A323+1</f>
        <v>36</v>
      </c>
      <c r="B332" s="650">
        <v>4020</v>
      </c>
      <c r="C332" s="665" t="s">
        <v>273</v>
      </c>
      <c r="D332" s="652" t="str">
        <f>$D$14</f>
        <v>FTE January 2026</v>
      </c>
      <c r="E332" s="629">
        <f>'4020'!$J$124</f>
        <v>899763.33</v>
      </c>
      <c r="F332" s="653"/>
      <c r="G332" s="629">
        <f>SUBTOTAL(109,E332:F340)</f>
        <v>899763.33</v>
      </c>
      <c r="H332" s="662"/>
      <c r="I332" s="648"/>
    </row>
    <row r="333" spans="1:9" s="368" customFormat="1" ht="12.75" hidden="1" customHeight="1" x14ac:dyDescent="0.2">
      <c r="A333" s="318"/>
      <c r="B333" s="650"/>
      <c r="C333" s="651"/>
      <c r="D333" s="311" t="s">
        <v>518</v>
      </c>
      <c r="E333" s="629"/>
      <c r="F333" s="653"/>
      <c r="G333" s="629"/>
      <c r="H333" s="662"/>
    </row>
    <row r="334" spans="1:9" s="368" customFormat="1" ht="12.75" hidden="1" customHeight="1" x14ac:dyDescent="0.2">
      <c r="A334" s="318"/>
      <c r="B334" s="650"/>
      <c r="C334" s="651"/>
      <c r="D334" s="655" t="s">
        <v>495</v>
      </c>
      <c r="E334" s="629"/>
      <c r="F334" s="653"/>
      <c r="G334" s="629"/>
      <c r="H334" s="662"/>
    </row>
    <row r="335" spans="1:9" s="368" customFormat="1" ht="12.75" hidden="1" customHeight="1" x14ac:dyDescent="0.2">
      <c r="A335" s="318"/>
      <c r="B335" s="650"/>
      <c r="C335" s="651"/>
      <c r="D335" s="311" t="s">
        <v>496</v>
      </c>
      <c r="E335" s="629"/>
      <c r="F335" s="653"/>
      <c r="G335" s="629"/>
      <c r="H335" s="662"/>
      <c r="I335" s="650"/>
    </row>
    <row r="336" spans="1:9" s="368" customFormat="1" ht="12.75" hidden="1" customHeight="1" x14ac:dyDescent="0.2">
      <c r="A336" s="318"/>
      <c r="B336" s="650"/>
      <c r="C336" s="651"/>
      <c r="D336" s="311" t="s">
        <v>521</v>
      </c>
      <c r="E336" s="629"/>
      <c r="F336" s="653"/>
      <c r="G336" s="629"/>
      <c r="H336" s="662"/>
    </row>
    <row r="337" spans="1:9" s="368" customFormat="1" ht="12.75" hidden="1" customHeight="1" x14ac:dyDescent="0.2">
      <c r="A337" s="318"/>
      <c r="B337" s="650"/>
      <c r="C337" s="651"/>
      <c r="D337" s="311" t="s">
        <v>498</v>
      </c>
      <c r="E337" s="629"/>
      <c r="F337" s="653"/>
      <c r="G337" s="629"/>
      <c r="H337" s="662"/>
    </row>
    <row r="338" spans="1:9" s="368" customFormat="1" ht="12.75" hidden="1" customHeight="1" x14ac:dyDescent="0.2">
      <c r="A338" s="318"/>
      <c r="B338" s="650"/>
      <c r="C338" s="651"/>
      <c r="D338" s="311" t="s">
        <v>499</v>
      </c>
      <c r="E338" s="629"/>
      <c r="F338" s="653"/>
      <c r="G338" s="629"/>
      <c r="H338" s="662"/>
    </row>
    <row r="339" spans="1:9" s="368" customFormat="1" ht="12.75" hidden="1" customHeight="1" x14ac:dyDescent="0.2">
      <c r="A339" s="318"/>
      <c r="B339" s="650"/>
      <c r="C339" s="651"/>
      <c r="D339" s="311" t="s">
        <v>526</v>
      </c>
      <c r="E339" s="629"/>
      <c r="F339" s="653"/>
      <c r="G339" s="629"/>
      <c r="H339" s="662"/>
    </row>
    <row r="340" spans="1:9" s="368" customFormat="1" ht="12.75" hidden="1" customHeight="1" x14ac:dyDescent="0.2">
      <c r="A340" s="318"/>
      <c r="B340" s="650"/>
      <c r="C340" s="651"/>
      <c r="D340" s="659" t="s">
        <v>516</v>
      </c>
      <c r="E340" s="629"/>
      <c r="F340" s="653"/>
      <c r="G340" s="629"/>
      <c r="H340" s="662"/>
      <c r="I340" s="643"/>
    </row>
    <row r="341" spans="1:9" s="368" customFormat="1" ht="12.75" customHeight="1" x14ac:dyDescent="0.2">
      <c r="A341" s="618">
        <f>A332+1</f>
        <v>37</v>
      </c>
      <c r="B341" s="632">
        <v>4030</v>
      </c>
      <c r="C341" s="633" t="s">
        <v>274</v>
      </c>
      <c r="D341" s="663" t="str">
        <f>$D$14</f>
        <v>FTE January 2026</v>
      </c>
      <c r="E341" s="622">
        <f>'4030'!$J$124</f>
        <v>217485.59</v>
      </c>
      <c r="F341" s="635"/>
      <c r="G341" s="622">
        <f>SUBTOTAL(109,E341:F350)</f>
        <v>217485.59</v>
      </c>
      <c r="H341" s="662"/>
    </row>
    <row r="342" spans="1:9" s="368" customFormat="1" ht="12.75" hidden="1" customHeight="1" x14ac:dyDescent="0.2">
      <c r="A342" s="618"/>
      <c r="B342" s="632"/>
      <c r="C342" s="633"/>
      <c r="D342" s="637" t="s">
        <v>494</v>
      </c>
      <c r="E342" s="622"/>
      <c r="F342" s="635"/>
      <c r="G342" s="622"/>
      <c r="H342" s="662"/>
    </row>
    <row r="343" spans="1:9" s="368" customFormat="1" ht="12.75" hidden="1" customHeight="1" x14ac:dyDescent="0.2">
      <c r="A343" s="618"/>
      <c r="B343" s="632"/>
      <c r="C343" s="633"/>
      <c r="D343" s="638" t="s">
        <v>495</v>
      </c>
      <c r="E343" s="622"/>
      <c r="F343" s="635"/>
      <c r="G343" s="622"/>
      <c r="H343" s="662"/>
    </row>
    <row r="344" spans="1:9" s="368" customFormat="1" ht="12.75" hidden="1" customHeight="1" x14ac:dyDescent="0.2">
      <c r="A344" s="618"/>
      <c r="B344" s="632"/>
      <c r="C344" s="633"/>
      <c r="D344" s="638" t="s">
        <v>514</v>
      </c>
      <c r="E344" s="622"/>
      <c r="F344" s="635"/>
      <c r="G344" s="622"/>
      <c r="H344" s="662"/>
      <c r="I344" s="650"/>
    </row>
    <row r="345" spans="1:9" s="368" customFormat="1" ht="12.75" hidden="1" customHeight="1" x14ac:dyDescent="0.2">
      <c r="A345" s="618"/>
      <c r="B345" s="632"/>
      <c r="C345" s="633"/>
      <c r="D345" s="633" t="s">
        <v>525</v>
      </c>
      <c r="E345" s="622"/>
      <c r="F345" s="635"/>
      <c r="G345" s="622"/>
      <c r="H345" s="662"/>
    </row>
    <row r="346" spans="1:9" s="368" customFormat="1" ht="12.75" hidden="1" customHeight="1" x14ac:dyDescent="0.2">
      <c r="A346" s="618"/>
      <c r="B346" s="632"/>
      <c r="C346" s="633"/>
      <c r="D346" s="637" t="s">
        <v>497</v>
      </c>
      <c r="E346" s="622"/>
      <c r="F346" s="635"/>
      <c r="G346" s="622"/>
      <c r="H346" s="662"/>
    </row>
    <row r="347" spans="1:9" s="368" customFormat="1" ht="12.75" hidden="1" customHeight="1" x14ac:dyDescent="0.2">
      <c r="A347" s="618"/>
      <c r="B347" s="632"/>
      <c r="C347" s="633"/>
      <c r="D347" s="637" t="s">
        <v>498</v>
      </c>
      <c r="E347" s="622"/>
      <c r="F347" s="635"/>
      <c r="G347" s="622"/>
      <c r="H347" s="662"/>
    </row>
    <row r="348" spans="1:9" s="368" customFormat="1" ht="12.75" hidden="1" customHeight="1" x14ac:dyDescent="0.2">
      <c r="A348" s="618"/>
      <c r="B348" s="632"/>
      <c r="C348" s="633"/>
      <c r="D348" s="637" t="s">
        <v>499</v>
      </c>
      <c r="E348" s="622"/>
      <c r="F348" s="635"/>
      <c r="G348" s="622"/>
      <c r="H348" s="636"/>
      <c r="I348" s="647"/>
    </row>
    <row r="349" spans="1:9" s="368" customFormat="1" ht="12.75" hidden="1" customHeight="1" x14ac:dyDescent="0.2">
      <c r="A349" s="618"/>
      <c r="B349" s="632"/>
      <c r="C349" s="633"/>
      <c r="D349" s="637" t="s">
        <v>507</v>
      </c>
      <c r="E349" s="622"/>
      <c r="F349" s="635"/>
      <c r="G349" s="622"/>
      <c r="H349" s="662"/>
      <c r="I349" s="643"/>
    </row>
    <row r="350" spans="1:9" s="368" customFormat="1" ht="12.75" hidden="1" customHeight="1" x14ac:dyDescent="0.2">
      <c r="A350" s="618"/>
      <c r="B350" s="632"/>
      <c r="C350" s="633"/>
      <c r="D350" s="637" t="s">
        <v>516</v>
      </c>
      <c r="E350" s="622"/>
      <c r="F350" s="635"/>
      <c r="G350" s="622"/>
      <c r="H350" s="662"/>
    </row>
    <row r="351" spans="1:9" s="368" customFormat="1" ht="12.75" customHeight="1" x14ac:dyDescent="0.2">
      <c r="A351" s="318">
        <f>A341+1</f>
        <v>38</v>
      </c>
      <c r="B351" s="650">
        <v>4031</v>
      </c>
      <c r="C351" s="665" t="s">
        <v>275</v>
      </c>
      <c r="D351" s="652" t="str">
        <f>$D$14</f>
        <v>FTE January 2026</v>
      </c>
      <c r="E351" s="629">
        <f>'4031'!$J$124</f>
        <v>319995.15999999997</v>
      </c>
      <c r="F351" s="653"/>
      <c r="G351" s="629">
        <f>SUBTOTAL(109,E351:F360)</f>
        <v>319995.15999999997</v>
      </c>
      <c r="H351" s="662"/>
    </row>
    <row r="352" spans="1:9" s="368" customFormat="1" ht="12.75" hidden="1" customHeight="1" x14ac:dyDescent="0.2">
      <c r="A352" s="318"/>
      <c r="B352" s="650"/>
      <c r="C352" s="651"/>
      <c r="D352" s="311" t="s">
        <v>518</v>
      </c>
      <c r="E352" s="629"/>
      <c r="F352" s="653"/>
      <c r="G352" s="629"/>
      <c r="H352" s="662"/>
    </row>
    <row r="353" spans="1:9" s="368" customFormat="1" ht="12.75" hidden="1" customHeight="1" x14ac:dyDescent="0.2">
      <c r="A353" s="318"/>
      <c r="B353" s="650"/>
      <c r="C353" s="651"/>
      <c r="D353" s="655" t="s">
        <v>495</v>
      </c>
      <c r="E353" s="629"/>
      <c r="F353" s="653"/>
      <c r="G353" s="629"/>
      <c r="H353" s="662"/>
      <c r="I353" s="650"/>
    </row>
    <row r="354" spans="1:9" s="368" customFormat="1" ht="12.75" hidden="1" customHeight="1" x14ac:dyDescent="0.2">
      <c r="A354" s="318"/>
      <c r="B354" s="650"/>
      <c r="C354" s="651"/>
      <c r="D354" s="655" t="s">
        <v>514</v>
      </c>
      <c r="E354" s="629"/>
      <c r="F354" s="653"/>
      <c r="G354" s="629"/>
      <c r="H354" s="662"/>
      <c r="I354" s="650"/>
    </row>
    <row r="355" spans="1:9" s="368" customFormat="1" ht="12.75" hidden="1" customHeight="1" x14ac:dyDescent="0.2">
      <c r="A355" s="318"/>
      <c r="B355" s="650"/>
      <c r="C355" s="651"/>
      <c r="D355" s="311" t="s">
        <v>496</v>
      </c>
      <c r="E355" s="629"/>
      <c r="F355" s="653"/>
      <c r="G355" s="629"/>
      <c r="H355" s="662"/>
    </row>
    <row r="356" spans="1:9" s="368" customFormat="1" ht="12.75" hidden="1" customHeight="1" x14ac:dyDescent="0.2">
      <c r="A356" s="318"/>
      <c r="B356" s="650"/>
      <c r="C356" s="651"/>
      <c r="D356" s="311" t="s">
        <v>497</v>
      </c>
      <c r="E356" s="629"/>
      <c r="F356" s="653"/>
      <c r="G356" s="629"/>
      <c r="H356" s="662"/>
    </row>
    <row r="357" spans="1:9" s="368" customFormat="1" ht="12.75" hidden="1" customHeight="1" x14ac:dyDescent="0.2">
      <c r="A357" s="318"/>
      <c r="B357" s="650"/>
      <c r="C357" s="651"/>
      <c r="D357" s="311" t="s">
        <v>498</v>
      </c>
      <c r="E357" s="629"/>
      <c r="F357" s="653"/>
      <c r="G357" s="629"/>
      <c r="H357" s="662"/>
    </row>
    <row r="358" spans="1:9" s="368" customFormat="1" ht="12.75" hidden="1" customHeight="1" x14ac:dyDescent="0.2">
      <c r="A358" s="318"/>
      <c r="B358" s="650"/>
      <c r="C358" s="651"/>
      <c r="D358" s="311" t="s">
        <v>499</v>
      </c>
      <c r="E358" s="629"/>
      <c r="F358" s="653"/>
      <c r="G358" s="629"/>
      <c r="H358" s="662"/>
    </row>
    <row r="359" spans="1:9" s="368" customFormat="1" ht="12.75" hidden="1" customHeight="1" x14ac:dyDescent="0.2">
      <c r="A359" s="318"/>
      <c r="B359" s="650"/>
      <c r="C359" s="651"/>
      <c r="D359" s="311" t="s">
        <v>507</v>
      </c>
      <c r="E359" s="629"/>
      <c r="F359" s="653"/>
      <c r="G359" s="629"/>
      <c r="H359" s="662"/>
      <c r="I359" s="643"/>
    </row>
    <row r="360" spans="1:9" s="368" customFormat="1" ht="12.75" hidden="1" customHeight="1" x14ac:dyDescent="0.2">
      <c r="A360" s="318"/>
      <c r="B360" s="650"/>
      <c r="C360" s="651"/>
      <c r="D360" s="659" t="s">
        <v>516</v>
      </c>
      <c r="E360" s="629"/>
      <c r="F360" s="653"/>
      <c r="G360" s="629"/>
      <c r="H360" s="662"/>
    </row>
    <row r="361" spans="1:9" s="368" customFormat="1" ht="12.75" customHeight="1" x14ac:dyDescent="0.2">
      <c r="A361" s="618">
        <f>A351+1</f>
        <v>39</v>
      </c>
      <c r="B361" s="632">
        <v>4041</v>
      </c>
      <c r="C361" s="633" t="s">
        <v>276</v>
      </c>
      <c r="D361" s="663" t="str">
        <f>$D$14</f>
        <v>FTE January 2026</v>
      </c>
      <c r="E361" s="622">
        <f>'4041'!$J$124</f>
        <v>64613.31</v>
      </c>
      <c r="F361" s="635"/>
      <c r="G361" s="622">
        <f>SUBTOTAL(109,E361:F371)</f>
        <v>64613.31</v>
      </c>
      <c r="H361" s="662"/>
    </row>
    <row r="362" spans="1:9" s="368" customFormat="1" ht="12.75" hidden="1" customHeight="1" x14ac:dyDescent="0.2">
      <c r="A362" s="618"/>
      <c r="B362" s="632"/>
      <c r="C362" s="633"/>
      <c r="D362" s="637" t="s">
        <v>494</v>
      </c>
      <c r="E362" s="622"/>
      <c r="F362" s="635"/>
      <c r="G362" s="622"/>
      <c r="H362" s="662"/>
    </row>
    <row r="363" spans="1:9" s="368" customFormat="1" ht="12.75" hidden="1" customHeight="1" x14ac:dyDescent="0.2">
      <c r="A363" s="618"/>
      <c r="B363" s="632"/>
      <c r="C363" s="633"/>
      <c r="D363" s="638" t="s">
        <v>495</v>
      </c>
      <c r="E363" s="622"/>
      <c r="F363" s="635"/>
      <c r="G363" s="622"/>
      <c r="H363" s="662"/>
      <c r="I363" s="650"/>
    </row>
    <row r="364" spans="1:9" s="368" customFormat="1" ht="12.75" hidden="1" customHeight="1" x14ac:dyDescent="0.2">
      <c r="A364" s="618"/>
      <c r="B364" s="632"/>
      <c r="C364" s="633"/>
      <c r="D364" s="638" t="s">
        <v>514</v>
      </c>
      <c r="E364" s="622"/>
      <c r="F364" s="635"/>
      <c r="G364" s="622"/>
      <c r="H364" s="662"/>
      <c r="I364" s="650"/>
    </row>
    <row r="365" spans="1:9" s="368" customFormat="1" ht="12.75" hidden="1" customHeight="1" x14ac:dyDescent="0.2">
      <c r="A365" s="618"/>
      <c r="B365" s="632"/>
      <c r="C365" s="633"/>
      <c r="D365" s="637" t="s">
        <v>496</v>
      </c>
      <c r="E365" s="622"/>
      <c r="F365" s="635"/>
      <c r="G365" s="622"/>
      <c r="H365" s="662"/>
    </row>
    <row r="366" spans="1:9" s="368" customFormat="1" ht="12.75" hidden="1" customHeight="1" x14ac:dyDescent="0.2">
      <c r="A366" s="618"/>
      <c r="B366" s="632"/>
      <c r="C366" s="633"/>
      <c r="D366" s="637" t="s">
        <v>497</v>
      </c>
      <c r="E366" s="622"/>
      <c r="F366" s="635"/>
      <c r="G366" s="622"/>
      <c r="H366" s="662"/>
    </row>
    <row r="367" spans="1:9" s="368" customFormat="1" ht="12.75" hidden="1" customHeight="1" x14ac:dyDescent="0.2">
      <c r="A367" s="618"/>
      <c r="B367" s="632"/>
      <c r="C367" s="633"/>
      <c r="D367" s="637" t="s">
        <v>498</v>
      </c>
      <c r="E367" s="622"/>
      <c r="F367" s="635"/>
      <c r="G367" s="622"/>
      <c r="H367" s="662"/>
      <c r="I367" s="650"/>
    </row>
    <row r="368" spans="1:9" s="368" customFormat="1" ht="12.75" hidden="1" customHeight="1" x14ac:dyDescent="0.2">
      <c r="A368" s="618"/>
      <c r="B368" s="632"/>
      <c r="C368" s="633"/>
      <c r="D368" s="637" t="s">
        <v>499</v>
      </c>
      <c r="E368" s="622"/>
      <c r="F368" s="635"/>
      <c r="G368" s="622"/>
      <c r="H368" s="662"/>
      <c r="I368" s="647"/>
    </row>
    <row r="369" spans="1:9" s="368" customFormat="1" ht="12.75" hidden="1" customHeight="1" x14ac:dyDescent="0.2">
      <c r="A369" s="618"/>
      <c r="B369" s="632"/>
      <c r="C369" s="633"/>
      <c r="D369" s="637" t="s">
        <v>522</v>
      </c>
      <c r="E369" s="622"/>
      <c r="F369" s="635"/>
      <c r="G369" s="622"/>
      <c r="H369" s="662"/>
      <c r="I369" s="643"/>
    </row>
    <row r="370" spans="1:9" s="368" customFormat="1" ht="12.75" hidden="1" customHeight="1" x14ac:dyDescent="0.2">
      <c r="A370" s="618"/>
      <c r="B370" s="632"/>
      <c r="C370" s="633"/>
      <c r="D370" s="637" t="s">
        <v>507</v>
      </c>
      <c r="E370" s="622"/>
      <c r="F370" s="635"/>
      <c r="G370" s="622"/>
      <c r="H370" s="662"/>
    </row>
    <row r="371" spans="1:9" s="368" customFormat="1" ht="12.75" hidden="1" customHeight="1" x14ac:dyDescent="0.2">
      <c r="A371" s="618"/>
      <c r="B371" s="632"/>
      <c r="C371" s="633"/>
      <c r="D371" s="637" t="s">
        <v>516</v>
      </c>
      <c r="E371" s="622"/>
      <c r="F371" s="635"/>
      <c r="G371" s="622"/>
      <c r="H371" s="662"/>
    </row>
    <row r="372" spans="1:9" s="368" customFormat="1" ht="12.75" customHeight="1" x14ac:dyDescent="0.2">
      <c r="A372" s="318">
        <f>A361+1</f>
        <v>40</v>
      </c>
      <c r="B372" s="342">
        <v>4050</v>
      </c>
      <c r="C372" s="343" t="s">
        <v>277</v>
      </c>
      <c r="D372" s="652" t="str">
        <f>$D$14</f>
        <v>FTE January 2026</v>
      </c>
      <c r="E372" s="629">
        <f>'4050'!$J$124</f>
        <v>511250.04</v>
      </c>
      <c r="F372" s="653"/>
      <c r="G372" s="629">
        <f>SUBTOTAL(109,E372:F378)</f>
        <v>511250.04</v>
      </c>
      <c r="H372" s="662"/>
    </row>
    <row r="373" spans="1:9" s="368" customFormat="1" ht="12.75" hidden="1" customHeight="1" x14ac:dyDescent="0.2">
      <c r="A373" s="318"/>
      <c r="B373" s="342"/>
      <c r="C373" s="343"/>
      <c r="D373" s="311" t="s">
        <v>518</v>
      </c>
      <c r="E373" s="629"/>
      <c r="F373" s="653"/>
      <c r="G373" s="629"/>
      <c r="H373" s="662"/>
      <c r="I373" s="650"/>
    </row>
    <row r="374" spans="1:9" s="368" customFormat="1" ht="12.75" hidden="1" customHeight="1" x14ac:dyDescent="0.2">
      <c r="A374" s="318"/>
      <c r="B374" s="342"/>
      <c r="C374" s="343"/>
      <c r="D374" s="311" t="s">
        <v>495</v>
      </c>
      <c r="E374" s="629"/>
      <c r="F374" s="653"/>
      <c r="G374" s="629"/>
      <c r="H374" s="662"/>
      <c r="I374" s="650"/>
    </row>
    <row r="375" spans="1:9" s="368" customFormat="1" ht="12.75" hidden="1" customHeight="1" x14ac:dyDescent="0.2">
      <c r="A375" s="318"/>
      <c r="B375" s="650"/>
      <c r="C375" s="651"/>
      <c r="D375" s="311" t="s">
        <v>497</v>
      </c>
      <c r="E375" s="629"/>
      <c r="F375" s="653"/>
      <c r="G375" s="629"/>
      <c r="H375" s="662"/>
    </row>
    <row r="376" spans="1:9" s="368" customFormat="1" ht="12.75" hidden="1" customHeight="1" x14ac:dyDescent="0.2">
      <c r="A376" s="318"/>
      <c r="B376" s="650"/>
      <c r="C376" s="651"/>
      <c r="D376" s="311" t="s">
        <v>498</v>
      </c>
      <c r="E376" s="629"/>
      <c r="F376" s="653"/>
      <c r="G376" s="629"/>
      <c r="H376" s="662"/>
    </row>
    <row r="377" spans="1:9" s="368" customFormat="1" ht="12.75" hidden="1" customHeight="1" x14ac:dyDescent="0.2">
      <c r="A377" s="318"/>
      <c r="B377" s="650"/>
      <c r="C377" s="651"/>
      <c r="D377" s="311" t="s">
        <v>499</v>
      </c>
      <c r="E377" s="629"/>
      <c r="F377" s="653"/>
      <c r="G377" s="629"/>
      <c r="H377" s="662"/>
    </row>
    <row r="378" spans="1:9" s="368" customFormat="1" ht="12.75" hidden="1" customHeight="1" x14ac:dyDescent="0.2">
      <c r="A378" s="318"/>
      <c r="B378" s="650"/>
      <c r="C378" s="651"/>
      <c r="D378" s="659" t="s">
        <v>516</v>
      </c>
      <c r="E378" s="629"/>
      <c r="F378" s="653"/>
      <c r="G378" s="629"/>
      <c r="H378" s="662"/>
    </row>
    <row r="379" spans="1:9" s="368" customFormat="1" ht="12.75" customHeight="1" x14ac:dyDescent="0.2">
      <c r="A379" s="618">
        <f>A372+1</f>
        <v>41</v>
      </c>
      <c r="B379" s="632">
        <v>4051</v>
      </c>
      <c r="C379" s="633" t="s">
        <v>278</v>
      </c>
      <c r="D379" s="663" t="str">
        <f>$D$14</f>
        <v>FTE January 2026</v>
      </c>
      <c r="E379" s="622">
        <f>'4051'!$J$124</f>
        <v>533809.19999999995</v>
      </c>
      <c r="F379" s="635"/>
      <c r="G379" s="622">
        <f>SUBTOTAL(109,E379:F387)</f>
        <v>533809.19999999995</v>
      </c>
      <c r="H379" s="662"/>
    </row>
    <row r="380" spans="1:9" s="368" customFormat="1" ht="12.75" hidden="1" customHeight="1" x14ac:dyDescent="0.2">
      <c r="A380" s="618"/>
      <c r="B380" s="632"/>
      <c r="C380" s="633"/>
      <c r="D380" s="637" t="s">
        <v>494</v>
      </c>
      <c r="E380" s="622"/>
      <c r="F380" s="635"/>
      <c r="G380" s="622"/>
      <c r="H380" s="662"/>
      <c r="I380" s="643"/>
    </row>
    <row r="381" spans="1:9" s="368" customFormat="1" ht="12.75" hidden="1" customHeight="1" x14ac:dyDescent="0.2">
      <c r="A381" s="618"/>
      <c r="B381" s="632"/>
      <c r="C381" s="633"/>
      <c r="D381" s="637" t="s">
        <v>495</v>
      </c>
      <c r="E381" s="622"/>
      <c r="F381" s="635"/>
      <c r="G381" s="622"/>
      <c r="H381" s="662"/>
    </row>
    <row r="382" spans="1:9" s="368" customFormat="1" ht="12.75" hidden="1" customHeight="1" x14ac:dyDescent="0.2">
      <c r="A382" s="618"/>
      <c r="B382" s="632"/>
      <c r="C382" s="633"/>
      <c r="D382" s="637" t="s">
        <v>497</v>
      </c>
      <c r="E382" s="622"/>
      <c r="F382" s="635"/>
      <c r="G382" s="622"/>
      <c r="H382" s="662"/>
    </row>
    <row r="383" spans="1:9" s="368" customFormat="1" ht="12.75" hidden="1" customHeight="1" x14ac:dyDescent="0.2">
      <c r="A383" s="618"/>
      <c r="B383" s="632"/>
      <c r="C383" s="633"/>
      <c r="D383" s="637" t="s">
        <v>498</v>
      </c>
      <c r="E383" s="622"/>
      <c r="F383" s="635"/>
      <c r="G383" s="622"/>
      <c r="H383" s="662"/>
    </row>
    <row r="384" spans="1:9" s="368" customFormat="1" ht="12.75" hidden="1" customHeight="1" x14ac:dyDescent="0.2">
      <c r="A384" s="618"/>
      <c r="B384" s="632"/>
      <c r="C384" s="633"/>
      <c r="D384" s="637" t="s">
        <v>499</v>
      </c>
      <c r="E384" s="622"/>
      <c r="F384" s="635"/>
      <c r="G384" s="622"/>
      <c r="H384" s="662"/>
    </row>
    <row r="385" spans="1:9" s="368" customFormat="1" ht="12.75" hidden="1" customHeight="1" x14ac:dyDescent="0.2">
      <c r="A385" s="618"/>
      <c r="B385" s="632"/>
      <c r="C385" s="633"/>
      <c r="D385" s="637" t="s">
        <v>522</v>
      </c>
      <c r="E385" s="622"/>
      <c r="F385" s="635"/>
      <c r="G385" s="622"/>
      <c r="H385" s="662"/>
    </row>
    <row r="386" spans="1:9" s="368" customFormat="1" ht="12.75" hidden="1" customHeight="1" x14ac:dyDescent="0.2">
      <c r="A386" s="618"/>
      <c r="B386" s="632"/>
      <c r="C386" s="633"/>
      <c r="D386" s="637" t="s">
        <v>526</v>
      </c>
      <c r="E386" s="622"/>
      <c r="F386" s="635"/>
      <c r="G386" s="622"/>
      <c r="H386" s="662"/>
    </row>
    <row r="387" spans="1:9" s="368" customFormat="1" ht="12.75" hidden="1" customHeight="1" x14ac:dyDescent="0.2">
      <c r="A387" s="618"/>
      <c r="B387" s="632"/>
      <c r="C387" s="633"/>
      <c r="D387" s="637"/>
      <c r="E387" s="622"/>
      <c r="F387" s="635"/>
      <c r="G387" s="622"/>
      <c r="H387" s="662"/>
      <c r="I387" s="647"/>
    </row>
    <row r="388" spans="1:9" s="368" customFormat="1" ht="12.75" customHeight="1" x14ac:dyDescent="0.2">
      <c r="A388" s="318">
        <f>A379+1</f>
        <v>42</v>
      </c>
      <c r="B388" s="342">
        <v>4061</v>
      </c>
      <c r="C388" s="345" t="s">
        <v>279</v>
      </c>
      <c r="D388" s="652" t="str">
        <f>$D$14</f>
        <v>FTE January 2026</v>
      </c>
      <c r="E388" s="629">
        <f>'4061'!$J$124</f>
        <v>697798.89</v>
      </c>
      <c r="F388" s="653"/>
      <c r="G388" s="629">
        <f>SUBTOTAL(109,E388:F396)</f>
        <v>697798.89</v>
      </c>
      <c r="H388" s="662"/>
    </row>
    <row r="389" spans="1:9" s="368" customFormat="1" ht="12.75" hidden="1" customHeight="1" x14ac:dyDescent="0.2">
      <c r="A389" s="318"/>
      <c r="B389" s="342"/>
      <c r="C389" s="343"/>
      <c r="D389" s="311" t="s">
        <v>518</v>
      </c>
      <c r="E389" s="629"/>
      <c r="F389" s="653"/>
      <c r="G389" s="629"/>
      <c r="H389" s="662"/>
    </row>
    <row r="390" spans="1:9" s="368" customFormat="1" ht="12.75" hidden="1" customHeight="1" x14ac:dyDescent="0.2">
      <c r="A390" s="318"/>
      <c r="B390" s="650"/>
      <c r="C390" s="651"/>
      <c r="D390" s="655" t="s">
        <v>495</v>
      </c>
      <c r="E390" s="629"/>
      <c r="F390" s="653"/>
      <c r="G390" s="629"/>
      <c r="H390" s="662"/>
    </row>
    <row r="391" spans="1:9" s="368" customFormat="1" ht="12.75" hidden="1" customHeight="1" x14ac:dyDescent="0.2">
      <c r="A391" s="318"/>
      <c r="B391" s="342"/>
      <c r="C391" s="343"/>
      <c r="D391" s="311" t="s">
        <v>494</v>
      </c>
      <c r="E391" s="629"/>
      <c r="F391" s="653"/>
      <c r="G391" s="629"/>
      <c r="H391" s="662"/>
    </row>
    <row r="392" spans="1:9" s="368" customFormat="1" ht="12.75" hidden="1" customHeight="1" x14ac:dyDescent="0.2">
      <c r="A392" s="318"/>
      <c r="B392" s="342"/>
      <c r="C392" s="343"/>
      <c r="D392" s="311" t="s">
        <v>496</v>
      </c>
      <c r="E392" s="629"/>
      <c r="F392" s="653"/>
      <c r="G392" s="629"/>
      <c r="H392" s="662"/>
    </row>
    <row r="393" spans="1:9" s="368" customFormat="1" ht="12.75" hidden="1" customHeight="1" x14ac:dyDescent="0.2">
      <c r="A393" s="318"/>
      <c r="B393" s="650"/>
      <c r="C393" s="651"/>
      <c r="D393" s="311" t="s">
        <v>497</v>
      </c>
      <c r="E393" s="629"/>
      <c r="F393" s="653"/>
      <c r="G393" s="629"/>
      <c r="H393" s="662"/>
    </row>
    <row r="394" spans="1:9" s="368" customFormat="1" ht="12.75" hidden="1" customHeight="1" x14ac:dyDescent="0.2">
      <c r="A394" s="318"/>
      <c r="B394" s="650"/>
      <c r="C394" s="651"/>
      <c r="D394" s="311" t="s">
        <v>498</v>
      </c>
      <c r="E394" s="629"/>
      <c r="F394" s="653"/>
      <c r="G394" s="629"/>
      <c r="H394" s="662"/>
    </row>
    <row r="395" spans="1:9" s="368" customFormat="1" ht="12.75" hidden="1" customHeight="1" x14ac:dyDescent="0.2">
      <c r="A395" s="318"/>
      <c r="B395" s="650"/>
      <c r="C395" s="651"/>
      <c r="D395" s="311" t="s">
        <v>499</v>
      </c>
      <c r="E395" s="629"/>
      <c r="F395" s="653"/>
      <c r="G395" s="629"/>
      <c r="H395" s="662"/>
    </row>
    <row r="396" spans="1:9" s="368" customFormat="1" ht="12.75" hidden="1" customHeight="1" x14ac:dyDescent="0.2">
      <c r="A396" s="318"/>
      <c r="B396" s="650"/>
      <c r="C396" s="651"/>
      <c r="D396" s="659" t="s">
        <v>537</v>
      </c>
      <c r="E396" s="672"/>
      <c r="F396" s="653"/>
      <c r="G396" s="629"/>
      <c r="H396" s="662"/>
      <c r="I396" s="643"/>
    </row>
    <row r="397" spans="1:9" s="368" customFormat="1" ht="12.75" customHeight="1" x14ac:dyDescent="0.2">
      <c r="A397" s="618">
        <f>A388+1</f>
        <v>43</v>
      </c>
      <c r="B397" s="632">
        <v>4080</v>
      </c>
      <c r="C397" s="633" t="s">
        <v>280</v>
      </c>
      <c r="D397" s="663" t="str">
        <f>$D$14</f>
        <v>FTE January 2026</v>
      </c>
      <c r="E397" s="622">
        <v>0</v>
      </c>
      <c r="F397" s="635"/>
      <c r="G397" s="622">
        <f>SUBTOTAL(109,E397:F403)</f>
        <v>0</v>
      </c>
      <c r="H397" s="662"/>
      <c r="I397" s="363" t="s">
        <v>584</v>
      </c>
    </row>
    <row r="398" spans="1:9" s="368" customFormat="1" ht="12.75" hidden="1" customHeight="1" x14ac:dyDescent="0.2">
      <c r="A398" s="618"/>
      <c r="B398" s="632"/>
      <c r="C398" s="633"/>
      <c r="D398" s="637" t="s">
        <v>494</v>
      </c>
      <c r="E398" s="622"/>
      <c r="F398" s="635"/>
      <c r="G398" s="622"/>
      <c r="H398" s="662"/>
    </row>
    <row r="399" spans="1:9" s="368" customFormat="1" ht="12.75" hidden="1" customHeight="1" x14ac:dyDescent="0.2">
      <c r="A399" s="618"/>
      <c r="B399" s="632"/>
      <c r="C399" s="633"/>
      <c r="D399" s="637" t="s">
        <v>495</v>
      </c>
      <c r="E399" s="622"/>
      <c r="F399" s="635"/>
      <c r="G399" s="622"/>
      <c r="H399" s="662"/>
    </row>
    <row r="400" spans="1:9" s="368" customFormat="1" ht="12.75" hidden="1" customHeight="1" x14ac:dyDescent="0.2">
      <c r="A400" s="618"/>
      <c r="B400" s="632"/>
      <c r="C400" s="633"/>
      <c r="D400" s="637" t="s">
        <v>497</v>
      </c>
      <c r="E400" s="622"/>
      <c r="F400" s="635"/>
      <c r="G400" s="622"/>
      <c r="H400" s="662"/>
      <c r="I400" s="650"/>
    </row>
    <row r="401" spans="1:12" s="368" customFormat="1" ht="12.75" hidden="1" customHeight="1" x14ac:dyDescent="0.2">
      <c r="A401" s="618"/>
      <c r="B401" s="632"/>
      <c r="C401" s="633"/>
      <c r="D401" s="637" t="s">
        <v>498</v>
      </c>
      <c r="E401" s="622"/>
      <c r="F401" s="635"/>
      <c r="G401" s="622"/>
      <c r="H401" s="662"/>
    </row>
    <row r="402" spans="1:12" s="368" customFormat="1" ht="12.75" hidden="1" customHeight="1" x14ac:dyDescent="0.2">
      <c r="A402" s="618"/>
      <c r="B402" s="632"/>
      <c r="C402" s="633"/>
      <c r="D402" s="637" t="s">
        <v>499</v>
      </c>
      <c r="E402" s="622"/>
      <c r="F402" s="635"/>
      <c r="G402" s="622"/>
      <c r="H402" s="662"/>
    </row>
    <row r="403" spans="1:12" s="368" customFormat="1" ht="12.75" hidden="1" customHeight="1" x14ac:dyDescent="0.2">
      <c r="A403" s="618"/>
      <c r="B403" s="632"/>
      <c r="C403" s="633"/>
      <c r="D403" s="637" t="s">
        <v>516</v>
      </c>
      <c r="E403" s="622"/>
      <c r="F403" s="635"/>
      <c r="G403" s="622"/>
      <c r="H403" s="662"/>
      <c r="I403" s="650"/>
    </row>
    <row r="404" spans="1:12" s="368" customFormat="1" ht="12.75" customHeight="1" x14ac:dyDescent="0.2">
      <c r="A404" s="318">
        <f>1+A397</f>
        <v>44</v>
      </c>
      <c r="B404" s="342">
        <v>4081</v>
      </c>
      <c r="C404" s="345" t="s">
        <v>281</v>
      </c>
      <c r="D404" s="652" t="str">
        <f>$D$14</f>
        <v>FTE January 2026</v>
      </c>
      <c r="E404" s="629">
        <f>'4081'!$J$124</f>
        <v>86139.09</v>
      </c>
      <c r="F404" s="653"/>
      <c r="G404" s="629">
        <f>SUBTOTAL(109,E404:F412)</f>
        <v>86139.09</v>
      </c>
      <c r="H404" s="662"/>
    </row>
    <row r="405" spans="1:12" s="368" customFormat="1" ht="12.75" hidden="1" customHeight="1" x14ac:dyDescent="0.2">
      <c r="A405" s="318"/>
      <c r="B405" s="342"/>
      <c r="C405" s="345"/>
      <c r="D405" s="311" t="s">
        <v>518</v>
      </c>
      <c r="E405" s="629"/>
      <c r="F405" s="653"/>
      <c r="G405" s="629"/>
      <c r="H405" s="662"/>
      <c r="I405" s="647"/>
    </row>
    <row r="406" spans="1:12" s="368" customFormat="1" ht="12.75" hidden="1" customHeight="1" x14ac:dyDescent="0.2">
      <c r="A406" s="318"/>
      <c r="B406" s="650"/>
      <c r="C406" s="651"/>
      <c r="D406" s="655" t="s">
        <v>495</v>
      </c>
      <c r="E406" s="629"/>
      <c r="F406" s="653"/>
      <c r="G406" s="629"/>
      <c r="H406" s="662"/>
      <c r="I406" s="647"/>
    </row>
    <row r="407" spans="1:12" s="368" customFormat="1" ht="12.75" hidden="1" customHeight="1" x14ac:dyDescent="0.2">
      <c r="A407" s="318"/>
      <c r="B407" s="342"/>
      <c r="C407" s="345"/>
      <c r="D407" s="311" t="s">
        <v>496</v>
      </c>
      <c r="E407" s="629"/>
      <c r="F407" s="653"/>
      <c r="G407" s="629"/>
      <c r="H407" s="662"/>
    </row>
    <row r="408" spans="1:12" s="368" customFormat="1" ht="12.75" hidden="1" customHeight="1" x14ac:dyDescent="0.2">
      <c r="A408" s="318"/>
      <c r="B408" s="342"/>
      <c r="C408" s="345"/>
      <c r="D408" s="311" t="s">
        <v>497</v>
      </c>
      <c r="E408" s="629"/>
      <c r="F408" s="653"/>
      <c r="G408" s="629"/>
      <c r="H408" s="662"/>
    </row>
    <row r="409" spans="1:12" s="368" customFormat="1" ht="12.75" hidden="1" customHeight="1" x14ac:dyDescent="0.2">
      <c r="A409" s="318"/>
      <c r="B409" s="342"/>
      <c r="C409" s="345"/>
      <c r="D409" s="311" t="s">
        <v>498</v>
      </c>
      <c r="E409" s="629"/>
      <c r="F409" s="653"/>
      <c r="G409" s="629"/>
      <c r="H409" s="662"/>
    </row>
    <row r="410" spans="1:12" s="368" customFormat="1" ht="12.75" hidden="1" customHeight="1" x14ac:dyDescent="0.2">
      <c r="A410" s="318"/>
      <c r="B410" s="650"/>
      <c r="C410" s="651"/>
      <c r="D410" s="311" t="s">
        <v>499</v>
      </c>
      <c r="E410" s="629"/>
      <c r="F410" s="653"/>
      <c r="G410" s="629"/>
      <c r="H410" s="662"/>
    </row>
    <row r="411" spans="1:12" s="368" customFormat="1" ht="12.75" hidden="1" customHeight="1" x14ac:dyDescent="0.2">
      <c r="A411" s="318"/>
      <c r="B411" s="650"/>
      <c r="C411" s="651"/>
      <c r="D411" s="311" t="s">
        <v>507</v>
      </c>
      <c r="E411" s="629"/>
      <c r="F411" s="653"/>
      <c r="G411" s="629"/>
      <c r="H411" s="662"/>
    </row>
    <row r="412" spans="1:12" s="368" customFormat="1" ht="12.75" hidden="1" customHeight="1" x14ac:dyDescent="0.2">
      <c r="A412" s="318"/>
      <c r="B412" s="650"/>
      <c r="C412" s="651"/>
      <c r="D412" s="659" t="s">
        <v>516</v>
      </c>
      <c r="E412" s="629"/>
      <c r="F412" s="653"/>
      <c r="G412" s="629"/>
      <c r="H412" s="662"/>
    </row>
    <row r="413" spans="1:12" s="368" customFormat="1" ht="12.75" customHeight="1" x14ac:dyDescent="0.2">
      <c r="A413" s="618">
        <f>1+A404</f>
        <v>45</v>
      </c>
      <c r="B413" s="632">
        <v>4090</v>
      </c>
      <c r="C413" s="633" t="s">
        <v>538</v>
      </c>
      <c r="D413" s="663" t="str">
        <f>$D$14</f>
        <v>FTE January 2026</v>
      </c>
      <c r="E413" s="622">
        <f>'4090'!$J$124</f>
        <v>209719.73</v>
      </c>
      <c r="F413" s="635"/>
      <c r="G413" s="622">
        <f>SUBTOTAL(109,E413:F422)</f>
        <v>209719.73</v>
      </c>
      <c r="H413" s="662"/>
    </row>
    <row r="414" spans="1:12" s="368" customFormat="1" ht="12.75" hidden="1" customHeight="1" x14ac:dyDescent="0.2">
      <c r="A414" s="618"/>
      <c r="B414" s="632"/>
      <c r="C414" s="633"/>
      <c r="D414" s="637" t="s">
        <v>494</v>
      </c>
      <c r="E414" s="622"/>
      <c r="F414" s="635"/>
      <c r="G414" s="622"/>
      <c r="H414" s="662"/>
      <c r="L414" s="657"/>
    </row>
    <row r="415" spans="1:12" s="368" customFormat="1" ht="12.75" hidden="1" customHeight="1" x14ac:dyDescent="0.2">
      <c r="A415" s="618"/>
      <c r="B415" s="632"/>
      <c r="C415" s="633"/>
      <c r="D415" s="638" t="s">
        <v>539</v>
      </c>
      <c r="E415" s="622"/>
      <c r="F415" s="635"/>
      <c r="G415" s="622"/>
      <c r="H415" s="662"/>
    </row>
    <row r="416" spans="1:12" s="368" customFormat="1" ht="12.75" hidden="1" customHeight="1" x14ac:dyDescent="0.2">
      <c r="A416" s="618"/>
      <c r="B416" s="632"/>
      <c r="C416" s="633"/>
      <c r="D416" s="638" t="s">
        <v>514</v>
      </c>
      <c r="E416" s="622"/>
      <c r="F416" s="635"/>
      <c r="G416" s="622"/>
      <c r="H416" s="662"/>
      <c r="I416" s="650"/>
    </row>
    <row r="417" spans="1:12" s="368" customFormat="1" ht="12.75" hidden="1" customHeight="1" x14ac:dyDescent="0.2">
      <c r="A417" s="618"/>
      <c r="B417" s="632"/>
      <c r="C417" s="633"/>
      <c r="D417" s="637" t="s">
        <v>496</v>
      </c>
      <c r="E417" s="622"/>
      <c r="F417" s="635"/>
      <c r="G417" s="622"/>
      <c r="H417" s="662"/>
    </row>
    <row r="418" spans="1:12" s="368" customFormat="1" ht="12.75" hidden="1" customHeight="1" x14ac:dyDescent="0.2">
      <c r="A418" s="618"/>
      <c r="B418" s="632"/>
      <c r="C418" s="633"/>
      <c r="D418" s="637" t="s">
        <v>497</v>
      </c>
      <c r="E418" s="622"/>
      <c r="F418" s="635"/>
      <c r="G418" s="622"/>
      <c r="H418" s="662"/>
    </row>
    <row r="419" spans="1:12" s="368" customFormat="1" ht="12.75" hidden="1" customHeight="1" x14ac:dyDescent="0.2">
      <c r="A419" s="618"/>
      <c r="B419" s="632"/>
      <c r="C419" s="633"/>
      <c r="D419" s="637" t="s">
        <v>498</v>
      </c>
      <c r="E419" s="622"/>
      <c r="F419" s="635"/>
      <c r="G419" s="622"/>
      <c r="H419" s="662"/>
    </row>
    <row r="420" spans="1:12" s="368" customFormat="1" ht="12.75" hidden="1" customHeight="1" x14ac:dyDescent="0.2">
      <c r="A420" s="618"/>
      <c r="B420" s="632"/>
      <c r="C420" s="633"/>
      <c r="D420" s="637" t="s">
        <v>499</v>
      </c>
      <c r="E420" s="622"/>
      <c r="F420" s="635"/>
      <c r="G420" s="622"/>
      <c r="H420" s="662"/>
      <c r="I420" s="647"/>
    </row>
    <row r="421" spans="1:12" s="368" customFormat="1" ht="12.75" hidden="1" customHeight="1" x14ac:dyDescent="0.2">
      <c r="A421" s="618"/>
      <c r="B421" s="632"/>
      <c r="C421" s="633"/>
      <c r="D421" s="637" t="s">
        <v>507</v>
      </c>
      <c r="E421" s="622"/>
      <c r="F421" s="635"/>
      <c r="G421" s="622"/>
      <c r="H421" s="662"/>
      <c r="I421" s="643"/>
    </row>
    <row r="422" spans="1:12" s="368" customFormat="1" ht="12.75" hidden="1" customHeight="1" x14ac:dyDescent="0.2">
      <c r="A422" s="618"/>
      <c r="B422" s="632"/>
      <c r="C422" s="633"/>
      <c r="D422" s="637" t="s">
        <v>540</v>
      </c>
      <c r="E422" s="622"/>
      <c r="F422" s="635"/>
      <c r="G422" s="622"/>
      <c r="H422" s="662"/>
      <c r="I422" s="647"/>
    </row>
    <row r="423" spans="1:12" s="368" customFormat="1" ht="12.75" customHeight="1" x14ac:dyDescent="0.2">
      <c r="A423" s="318">
        <f>1+A413</f>
        <v>46</v>
      </c>
      <c r="B423" s="342">
        <v>4091</v>
      </c>
      <c r="C423" s="345" t="s">
        <v>283</v>
      </c>
      <c r="D423" s="652" t="str">
        <f>$D$14</f>
        <v>FTE January 2026</v>
      </c>
      <c r="E423" s="629">
        <f>'4091'!$J$124</f>
        <v>283969.88</v>
      </c>
      <c r="F423" s="653"/>
      <c r="G423" s="629">
        <f>SUBTOTAL(109,E423:F432)</f>
        <v>283969.88</v>
      </c>
      <c r="H423" s="662"/>
      <c r="L423" s="657"/>
    </row>
    <row r="424" spans="1:12" s="368" customFormat="1" ht="12.75" hidden="1" customHeight="1" x14ac:dyDescent="0.2">
      <c r="A424" s="318"/>
      <c r="B424" s="342"/>
      <c r="C424" s="345"/>
      <c r="D424" s="311" t="s">
        <v>518</v>
      </c>
      <c r="E424" s="629"/>
      <c r="F424" s="653"/>
      <c r="G424" s="629"/>
      <c r="H424" s="662"/>
    </row>
    <row r="425" spans="1:12" s="368" customFormat="1" ht="12.75" hidden="1" customHeight="1" x14ac:dyDescent="0.2">
      <c r="A425" s="318"/>
      <c r="B425" s="650"/>
      <c r="C425" s="651"/>
      <c r="D425" s="655" t="s">
        <v>495</v>
      </c>
      <c r="E425" s="629"/>
      <c r="F425" s="653"/>
      <c r="G425" s="629"/>
      <c r="H425" s="662"/>
      <c r="I425" s="650"/>
    </row>
    <row r="426" spans="1:12" s="368" customFormat="1" ht="12.75" hidden="1" customHeight="1" x14ac:dyDescent="0.2">
      <c r="A426" s="318"/>
      <c r="B426" s="342"/>
      <c r="C426" s="345"/>
      <c r="D426" s="311" t="s">
        <v>496</v>
      </c>
      <c r="E426" s="629"/>
      <c r="F426" s="653"/>
      <c r="G426" s="629"/>
      <c r="H426" s="662"/>
      <c r="I426" s="650"/>
    </row>
    <row r="427" spans="1:12" s="368" customFormat="1" ht="12.75" hidden="1" customHeight="1" x14ac:dyDescent="0.2">
      <c r="A427" s="318"/>
      <c r="B427" s="342"/>
      <c r="C427" s="345"/>
      <c r="D427" s="311" t="s">
        <v>497</v>
      </c>
      <c r="E427" s="629"/>
      <c r="F427" s="653"/>
      <c r="G427" s="629"/>
      <c r="H427" s="662"/>
    </row>
    <row r="428" spans="1:12" s="368" customFormat="1" ht="12.75" hidden="1" customHeight="1" x14ac:dyDescent="0.2">
      <c r="A428" s="318"/>
      <c r="B428" s="342"/>
      <c r="C428" s="345"/>
      <c r="D428" s="311" t="s">
        <v>498</v>
      </c>
      <c r="E428" s="629"/>
      <c r="F428" s="653"/>
      <c r="G428" s="629"/>
      <c r="H428" s="662"/>
    </row>
    <row r="429" spans="1:12" s="368" customFormat="1" ht="12.75" hidden="1" customHeight="1" x14ac:dyDescent="0.2">
      <c r="A429" s="318"/>
      <c r="B429" s="650"/>
      <c r="C429" s="651"/>
      <c r="D429" s="311" t="s">
        <v>499</v>
      </c>
      <c r="E429" s="629"/>
      <c r="F429" s="653"/>
      <c r="G429" s="629"/>
      <c r="H429" s="662"/>
    </row>
    <row r="430" spans="1:12" s="368" customFormat="1" ht="12.75" hidden="1" customHeight="1" x14ac:dyDescent="0.2">
      <c r="A430" s="318"/>
      <c r="B430" s="650"/>
      <c r="C430" s="651"/>
      <c r="D430" s="311" t="s">
        <v>507</v>
      </c>
      <c r="E430" s="629"/>
      <c r="F430" s="653"/>
      <c r="G430" s="629"/>
      <c r="H430" s="662"/>
    </row>
    <row r="431" spans="1:12" s="368" customFormat="1" ht="12.75" hidden="1" customHeight="1" x14ac:dyDescent="0.2">
      <c r="A431" s="318"/>
      <c r="B431" s="650"/>
      <c r="C431" s="651"/>
      <c r="D431" s="659" t="s">
        <v>541</v>
      </c>
      <c r="E431" s="629"/>
      <c r="F431" s="653"/>
      <c r="G431" s="629"/>
      <c r="H431" s="662"/>
    </row>
    <row r="432" spans="1:12" s="368" customFormat="1" ht="12.75" hidden="1" customHeight="1" x14ac:dyDescent="0.2">
      <c r="A432" s="318"/>
      <c r="B432" s="650"/>
      <c r="C432" s="651"/>
      <c r="D432" s="661" t="s">
        <v>542</v>
      </c>
      <c r="E432" s="629"/>
      <c r="F432" s="653"/>
      <c r="G432" s="629"/>
      <c r="H432" s="662"/>
    </row>
    <row r="433" spans="1:13" s="368" customFormat="1" ht="12.75" customHeight="1" x14ac:dyDescent="0.2">
      <c r="A433" s="618">
        <f>1+A423</f>
        <v>47</v>
      </c>
      <c r="B433" s="632">
        <v>4100</v>
      </c>
      <c r="C433" s="633" t="s">
        <v>302</v>
      </c>
      <c r="D433" s="663" t="str">
        <f>$D$14</f>
        <v>FTE January 2026</v>
      </c>
      <c r="E433" s="622">
        <f>'4100'!$J$124</f>
        <v>322228.78999999998</v>
      </c>
      <c r="F433" s="635"/>
      <c r="G433" s="622">
        <f>SUBTOTAL(109,E433:F441)</f>
        <v>322228.78999999998</v>
      </c>
      <c r="H433" s="662"/>
      <c r="M433" s="657"/>
    </row>
    <row r="434" spans="1:13" s="368" customFormat="1" ht="12.75" hidden="1" customHeight="1" x14ac:dyDescent="0.2">
      <c r="A434" s="618"/>
      <c r="B434" s="632"/>
      <c r="C434" s="633"/>
      <c r="D434" s="637" t="s">
        <v>494</v>
      </c>
      <c r="E434" s="622"/>
      <c r="F434" s="635"/>
      <c r="G434" s="622"/>
      <c r="H434" s="662"/>
    </row>
    <row r="435" spans="1:13" s="368" customFormat="1" ht="12.75" hidden="1" customHeight="1" x14ac:dyDescent="0.2">
      <c r="A435" s="618"/>
      <c r="B435" s="632"/>
      <c r="C435" s="633"/>
      <c r="D435" s="638" t="s">
        <v>495</v>
      </c>
      <c r="E435" s="622"/>
      <c r="F435" s="635"/>
      <c r="G435" s="622"/>
      <c r="H435" s="662"/>
      <c r="I435" s="650"/>
    </row>
    <row r="436" spans="1:13" s="368" customFormat="1" ht="12.75" hidden="1" customHeight="1" x14ac:dyDescent="0.2">
      <c r="A436" s="618"/>
      <c r="B436" s="632"/>
      <c r="C436" s="633"/>
      <c r="D436" s="637" t="s">
        <v>496</v>
      </c>
      <c r="E436" s="622"/>
      <c r="F436" s="635"/>
      <c r="G436" s="622"/>
      <c r="H436" s="662"/>
    </row>
    <row r="437" spans="1:13" s="368" customFormat="1" ht="12.75" hidden="1" customHeight="1" x14ac:dyDescent="0.2">
      <c r="A437" s="618"/>
      <c r="B437" s="632"/>
      <c r="C437" s="633"/>
      <c r="D437" s="637" t="s">
        <v>497</v>
      </c>
      <c r="E437" s="622"/>
      <c r="F437" s="635"/>
      <c r="G437" s="622"/>
      <c r="H437" s="662"/>
    </row>
    <row r="438" spans="1:13" s="368" customFormat="1" ht="12.75" hidden="1" customHeight="1" x14ac:dyDescent="0.2">
      <c r="A438" s="618"/>
      <c r="B438" s="632"/>
      <c r="C438" s="633"/>
      <c r="D438" s="637" t="s">
        <v>498</v>
      </c>
      <c r="E438" s="622"/>
      <c r="F438" s="635"/>
      <c r="G438" s="622"/>
      <c r="H438" s="662"/>
    </row>
    <row r="439" spans="1:13" s="368" customFormat="1" ht="12.75" hidden="1" customHeight="1" x14ac:dyDescent="0.2">
      <c r="A439" s="618"/>
      <c r="B439" s="632"/>
      <c r="C439" s="633"/>
      <c r="D439" s="637" t="s">
        <v>499</v>
      </c>
      <c r="E439" s="622"/>
      <c r="F439" s="635"/>
      <c r="G439" s="622"/>
      <c r="H439" s="662"/>
      <c r="I439" s="647"/>
    </row>
    <row r="440" spans="1:13" s="368" customFormat="1" ht="12.75" hidden="1" customHeight="1" x14ac:dyDescent="0.2">
      <c r="A440" s="618"/>
      <c r="B440" s="632"/>
      <c r="C440" s="633"/>
      <c r="D440" s="637" t="s">
        <v>507</v>
      </c>
      <c r="E440" s="622"/>
      <c r="F440" s="635"/>
      <c r="G440" s="622"/>
      <c r="H440" s="662"/>
      <c r="I440" s="643"/>
    </row>
    <row r="441" spans="1:13" s="368" customFormat="1" ht="12.75" hidden="1" customHeight="1" x14ac:dyDescent="0.2">
      <c r="A441" s="618"/>
      <c r="B441" s="632"/>
      <c r="C441" s="633"/>
      <c r="D441" s="637" t="s">
        <v>516</v>
      </c>
      <c r="E441" s="622"/>
      <c r="F441" s="635"/>
      <c r="G441" s="622"/>
      <c r="H441" s="662"/>
    </row>
    <row r="442" spans="1:13" s="368" customFormat="1" ht="12.75" customHeight="1" x14ac:dyDescent="0.2">
      <c r="A442" s="318">
        <f>1+A433</f>
        <v>48</v>
      </c>
      <c r="B442" s="342">
        <v>4102</v>
      </c>
      <c r="C442" s="345" t="s">
        <v>300</v>
      </c>
      <c r="D442" s="652" t="str">
        <f>$D$14</f>
        <v>FTE January 2026</v>
      </c>
      <c r="E442" s="629">
        <f>'4102'!$J$124</f>
        <v>129838.42</v>
      </c>
      <c r="F442" s="653"/>
      <c r="G442" s="629">
        <f>SUBTOTAL(109,E442:F449)</f>
        <v>129838.42</v>
      </c>
      <c r="H442" s="662"/>
    </row>
    <row r="443" spans="1:13" s="368" customFormat="1" ht="12.75" hidden="1" customHeight="1" x14ac:dyDescent="0.2">
      <c r="A443" s="318"/>
      <c r="B443" s="342"/>
      <c r="C443" s="345"/>
      <c r="D443" s="311" t="s">
        <v>518</v>
      </c>
      <c r="E443" s="629"/>
      <c r="F443" s="653">
        <v>0</v>
      </c>
      <c r="G443" s="629"/>
      <c r="H443" s="662"/>
    </row>
    <row r="444" spans="1:13" s="368" customFormat="1" ht="12.75" hidden="1" customHeight="1" x14ac:dyDescent="0.2">
      <c r="A444" s="318"/>
      <c r="B444" s="650"/>
      <c r="C444" s="651"/>
      <c r="D444" s="655"/>
      <c r="E444" s="672"/>
      <c r="F444" s="653"/>
      <c r="G444" s="629"/>
      <c r="H444" s="662"/>
    </row>
    <row r="445" spans="1:13" s="368" customFormat="1" ht="12.75" hidden="1" customHeight="1" x14ac:dyDescent="0.2">
      <c r="A445" s="318"/>
      <c r="B445" s="342"/>
      <c r="C445" s="345"/>
      <c r="D445" s="655" t="s">
        <v>525</v>
      </c>
      <c r="E445" s="629"/>
      <c r="F445" s="653"/>
      <c r="G445" s="629"/>
      <c r="H445" s="662"/>
      <c r="I445" s="650"/>
    </row>
    <row r="446" spans="1:13" s="368" customFormat="1" ht="12.75" hidden="1" customHeight="1" x14ac:dyDescent="0.2">
      <c r="A446" s="318"/>
      <c r="B446" s="342"/>
      <c r="C446" s="345"/>
      <c r="D446" s="311" t="s">
        <v>497</v>
      </c>
      <c r="E446" s="629"/>
      <c r="F446" s="653"/>
      <c r="G446" s="629"/>
      <c r="H446" s="662"/>
    </row>
    <row r="447" spans="1:13" s="368" customFormat="1" ht="12.75" hidden="1" customHeight="1" x14ac:dyDescent="0.2">
      <c r="A447" s="318"/>
      <c r="B447" s="342"/>
      <c r="C447" s="345"/>
      <c r="D447" s="311" t="s">
        <v>498</v>
      </c>
      <c r="E447" s="629"/>
      <c r="F447" s="653"/>
      <c r="G447" s="629"/>
      <c r="H447" s="662"/>
    </row>
    <row r="448" spans="1:13" s="368" customFormat="1" ht="12.75" hidden="1" customHeight="1" x14ac:dyDescent="0.2">
      <c r="A448" s="318"/>
      <c r="B448" s="650"/>
      <c r="C448" s="651"/>
      <c r="D448" s="311" t="s">
        <v>499</v>
      </c>
      <c r="E448" s="629"/>
      <c r="F448" s="653"/>
      <c r="G448" s="629"/>
      <c r="H448" s="662"/>
    </row>
    <row r="449" spans="1:9" s="368" customFormat="1" ht="12.75" hidden="1" customHeight="1" x14ac:dyDescent="0.2">
      <c r="A449" s="318"/>
      <c r="B449" s="650"/>
      <c r="C449" s="651"/>
      <c r="D449" s="659"/>
      <c r="E449" s="629"/>
      <c r="F449" s="653"/>
      <c r="G449" s="629"/>
      <c r="H449" s="662"/>
    </row>
    <row r="450" spans="1:9" s="368" customFormat="1" ht="12" customHeight="1" x14ac:dyDescent="0.2">
      <c r="A450" s="618">
        <f>A442+1</f>
        <v>49</v>
      </c>
      <c r="B450" s="632">
        <v>4103</v>
      </c>
      <c r="C450" s="633" t="s">
        <v>543</v>
      </c>
      <c r="D450" s="663" t="str">
        <f>$D$14</f>
        <v>FTE January 2026</v>
      </c>
      <c r="E450" s="622">
        <f>'4103'!$J$124</f>
        <v>698845.87</v>
      </c>
      <c r="F450" s="635"/>
      <c r="G450" s="622">
        <f>SUBTOTAL(109,E450:F459)</f>
        <v>698845.87</v>
      </c>
      <c r="H450" s="662"/>
    </row>
    <row r="451" spans="1:9" s="368" customFormat="1" ht="12.75" hidden="1" customHeight="1" x14ac:dyDescent="0.2">
      <c r="A451" s="618"/>
      <c r="B451" s="632"/>
      <c r="C451" s="633"/>
      <c r="D451" s="637" t="s">
        <v>494</v>
      </c>
      <c r="E451" s="622"/>
      <c r="F451" s="635"/>
      <c r="G451" s="622"/>
      <c r="H451" s="662"/>
    </row>
    <row r="452" spans="1:9" s="368" customFormat="1" ht="12.75" hidden="1" customHeight="1" x14ac:dyDescent="0.2">
      <c r="A452" s="618"/>
      <c r="B452" s="632"/>
      <c r="C452" s="633"/>
      <c r="D452" s="638" t="s">
        <v>495</v>
      </c>
      <c r="E452" s="622"/>
      <c r="F452" s="635"/>
      <c r="G452" s="622"/>
      <c r="H452" s="662"/>
    </row>
    <row r="453" spans="1:9" s="368" customFormat="1" ht="12.75" hidden="1" customHeight="1" x14ac:dyDescent="0.2">
      <c r="A453" s="618"/>
      <c r="B453" s="632"/>
      <c r="C453" s="633"/>
      <c r="D453" s="638" t="s">
        <v>514</v>
      </c>
      <c r="E453" s="622"/>
      <c r="F453" s="635"/>
      <c r="G453" s="622"/>
      <c r="H453" s="662"/>
    </row>
    <row r="454" spans="1:9" s="368" customFormat="1" ht="12.75" hidden="1" customHeight="1" x14ac:dyDescent="0.2">
      <c r="A454" s="618"/>
      <c r="B454" s="632"/>
      <c r="C454" s="633"/>
      <c r="D454" s="637" t="s">
        <v>496</v>
      </c>
      <c r="E454" s="622"/>
      <c r="F454" s="635"/>
      <c r="G454" s="622"/>
      <c r="H454" s="662"/>
      <c r="I454" s="650"/>
    </row>
    <row r="455" spans="1:9" s="368" customFormat="1" ht="12.75" hidden="1" customHeight="1" x14ac:dyDescent="0.2">
      <c r="A455" s="618"/>
      <c r="B455" s="632"/>
      <c r="C455" s="633"/>
      <c r="D455" s="637" t="s">
        <v>497</v>
      </c>
      <c r="E455" s="622"/>
      <c r="F455" s="635"/>
      <c r="G455" s="622"/>
      <c r="H455" s="662"/>
    </row>
    <row r="456" spans="1:9" s="368" customFormat="1" ht="12.75" hidden="1" customHeight="1" x14ac:dyDescent="0.2">
      <c r="A456" s="618"/>
      <c r="B456" s="632"/>
      <c r="C456" s="633"/>
      <c r="D456" s="637" t="s">
        <v>498</v>
      </c>
      <c r="E456" s="622"/>
      <c r="F456" s="635"/>
      <c r="G456" s="622"/>
      <c r="H456" s="662"/>
    </row>
    <row r="457" spans="1:9" s="368" customFormat="1" ht="12.75" hidden="1" customHeight="1" x14ac:dyDescent="0.2">
      <c r="A457" s="618"/>
      <c r="B457" s="632"/>
      <c r="C457" s="633"/>
      <c r="D457" s="637" t="s">
        <v>499</v>
      </c>
      <c r="E457" s="622"/>
      <c r="F457" s="635"/>
      <c r="G457" s="622"/>
      <c r="H457" s="662"/>
      <c r="I457" s="309"/>
    </row>
    <row r="458" spans="1:9" s="368" customFormat="1" ht="12.75" hidden="1" customHeight="1" x14ac:dyDescent="0.2">
      <c r="A458" s="618"/>
      <c r="B458" s="632"/>
      <c r="C458" s="633"/>
      <c r="D458" s="637" t="s">
        <v>507</v>
      </c>
      <c r="E458" s="622"/>
      <c r="F458" s="635"/>
      <c r="G458" s="622"/>
      <c r="H458" s="662"/>
      <c r="I458" s="647"/>
    </row>
    <row r="459" spans="1:9" s="368" customFormat="1" ht="12.75" hidden="1" customHeight="1" x14ac:dyDescent="0.2">
      <c r="A459" s="618"/>
      <c r="B459" s="632"/>
      <c r="C459" s="633"/>
      <c r="D459" s="637" t="s">
        <v>516</v>
      </c>
      <c r="E459" s="622"/>
      <c r="F459" s="635"/>
      <c r="G459" s="622"/>
      <c r="H459" s="662"/>
      <c r="I459" s="647"/>
    </row>
    <row r="460" spans="1:9" s="368" customFormat="1" ht="12.75" customHeight="1" x14ac:dyDescent="0.2">
      <c r="A460" s="318">
        <f>1+A450</f>
        <v>50</v>
      </c>
      <c r="B460" s="342">
        <v>4111</v>
      </c>
      <c r="C460" s="345" t="s">
        <v>287</v>
      </c>
      <c r="D460" s="652" t="str">
        <f>$D$14</f>
        <v>FTE January 2026</v>
      </c>
      <c r="E460" s="629">
        <f>'4111'!$J$124</f>
        <v>205425.31</v>
      </c>
      <c r="F460" s="653"/>
      <c r="G460" s="629">
        <f>SUBTOTAL(109,E460:F468)</f>
        <v>205425.31</v>
      </c>
      <c r="H460" s="662"/>
    </row>
    <row r="461" spans="1:9" s="368" customFormat="1" ht="12.75" hidden="1" customHeight="1" x14ac:dyDescent="0.2">
      <c r="A461" s="318"/>
      <c r="B461" s="342"/>
      <c r="C461" s="345"/>
      <c r="D461" s="311" t="s">
        <v>518</v>
      </c>
      <c r="E461" s="629"/>
      <c r="F461" s="653"/>
      <c r="G461" s="629"/>
      <c r="H461" s="662"/>
    </row>
    <row r="462" spans="1:9" s="368" customFormat="1" ht="12.75" hidden="1" customHeight="1" x14ac:dyDescent="0.2">
      <c r="A462" s="318"/>
      <c r="B462" s="650"/>
      <c r="C462" s="651"/>
      <c r="D462" s="655" t="s">
        <v>495</v>
      </c>
      <c r="E462" s="629"/>
      <c r="F462" s="653"/>
      <c r="G462" s="629"/>
      <c r="H462" s="662"/>
      <c r="I462" s="650"/>
    </row>
    <row r="463" spans="1:9" s="368" customFormat="1" ht="12.75" hidden="1" customHeight="1" x14ac:dyDescent="0.2">
      <c r="A463" s="318"/>
      <c r="B463" s="342"/>
      <c r="C463" s="345"/>
      <c r="D463" s="311" t="s">
        <v>496</v>
      </c>
      <c r="E463" s="629"/>
      <c r="F463" s="653"/>
      <c r="G463" s="629"/>
      <c r="H463" s="662"/>
      <c r="I463" s="650"/>
    </row>
    <row r="464" spans="1:9" s="368" customFormat="1" ht="12.75" hidden="1" customHeight="1" x14ac:dyDescent="0.2">
      <c r="A464" s="318"/>
      <c r="B464" s="342"/>
      <c r="C464" s="345"/>
      <c r="D464" s="311" t="s">
        <v>497</v>
      </c>
      <c r="E464" s="629"/>
      <c r="F464" s="653"/>
      <c r="G464" s="629"/>
      <c r="H464" s="662"/>
    </row>
    <row r="465" spans="1:9" s="368" customFormat="1" ht="12.75" hidden="1" customHeight="1" x14ac:dyDescent="0.2">
      <c r="A465" s="318"/>
      <c r="B465" s="342"/>
      <c r="C465" s="345"/>
      <c r="D465" s="311" t="s">
        <v>498</v>
      </c>
      <c r="E465" s="629"/>
      <c r="F465" s="653"/>
      <c r="G465" s="629"/>
      <c r="H465" s="662"/>
    </row>
    <row r="466" spans="1:9" s="368" customFormat="1" ht="12.75" hidden="1" customHeight="1" x14ac:dyDescent="0.2">
      <c r="A466" s="318"/>
      <c r="B466" s="650"/>
      <c r="C466" s="651"/>
      <c r="D466" s="311" t="s">
        <v>499</v>
      </c>
      <c r="E466" s="629"/>
      <c r="F466" s="653"/>
      <c r="G466" s="629"/>
      <c r="H466" s="662"/>
    </row>
    <row r="467" spans="1:9" s="368" customFormat="1" hidden="1" x14ac:dyDescent="0.2">
      <c r="A467" s="318"/>
      <c r="B467" s="650"/>
      <c r="C467" s="651"/>
      <c r="D467" s="311" t="s">
        <v>507</v>
      </c>
      <c r="E467" s="629"/>
      <c r="F467" s="653"/>
      <c r="G467" s="629"/>
      <c r="H467" s="662"/>
    </row>
    <row r="468" spans="1:9" s="368" customFormat="1" hidden="1" x14ac:dyDescent="0.2">
      <c r="A468" s="318"/>
      <c r="B468" s="650"/>
      <c r="C468" s="651"/>
      <c r="D468" s="659" t="s">
        <v>516</v>
      </c>
      <c r="E468" s="629"/>
      <c r="F468" s="653"/>
      <c r="G468" s="629"/>
      <c r="H468" s="662"/>
    </row>
    <row r="469" spans="1:9" s="368" customFormat="1" ht="12.75" customHeight="1" x14ac:dyDescent="0.2">
      <c r="A469" s="618">
        <f>1+A460</f>
        <v>51</v>
      </c>
      <c r="B469" s="673">
        <v>4131</v>
      </c>
      <c r="C469" s="674" t="s">
        <v>288</v>
      </c>
      <c r="D469" s="663" t="str">
        <f>$D$14</f>
        <v>FTE January 2026</v>
      </c>
      <c r="E469" s="622">
        <f>'4131'!$J$124</f>
        <v>67799.25</v>
      </c>
      <c r="F469" s="635"/>
      <c r="G469" s="622">
        <f>SUBTOTAL(109,E469:F477)</f>
        <v>67799.25</v>
      </c>
      <c r="H469" s="662"/>
    </row>
    <row r="470" spans="1:9" s="368" customFormat="1" ht="12.75" hidden="1" customHeight="1" x14ac:dyDescent="0.2">
      <c r="A470" s="618"/>
      <c r="B470" s="673"/>
      <c r="C470" s="674"/>
      <c r="D470" s="637" t="s">
        <v>494</v>
      </c>
      <c r="E470" s="622"/>
      <c r="F470" s="635"/>
      <c r="G470" s="622"/>
      <c r="H470" s="662"/>
    </row>
    <row r="471" spans="1:9" s="368" customFormat="1" ht="12.75" hidden="1" customHeight="1" x14ac:dyDescent="0.2">
      <c r="A471" s="618"/>
      <c r="B471" s="632"/>
      <c r="C471" s="633"/>
      <c r="D471" s="638" t="s">
        <v>539</v>
      </c>
      <c r="E471" s="622"/>
      <c r="F471" s="635"/>
      <c r="G471" s="622"/>
      <c r="H471" s="662"/>
    </row>
    <row r="472" spans="1:9" s="368" customFormat="1" ht="12.75" hidden="1" customHeight="1" x14ac:dyDescent="0.2">
      <c r="A472" s="618"/>
      <c r="B472" s="673"/>
      <c r="C472" s="674"/>
      <c r="D472" s="637" t="s">
        <v>496</v>
      </c>
      <c r="E472" s="622"/>
      <c r="F472" s="635"/>
      <c r="G472" s="622"/>
      <c r="H472" s="662"/>
      <c r="I472" s="650"/>
    </row>
    <row r="473" spans="1:9" s="368" customFormat="1" ht="12.75" hidden="1" customHeight="1" x14ac:dyDescent="0.2">
      <c r="A473" s="618"/>
      <c r="B473" s="673"/>
      <c r="C473" s="674"/>
      <c r="D473" s="637" t="s">
        <v>497</v>
      </c>
      <c r="E473" s="622"/>
      <c r="F473" s="635"/>
      <c r="G473" s="622"/>
      <c r="H473" s="662"/>
    </row>
    <row r="474" spans="1:9" s="368" customFormat="1" ht="12.75" hidden="1" customHeight="1" x14ac:dyDescent="0.2">
      <c r="A474" s="618"/>
      <c r="B474" s="673"/>
      <c r="C474" s="674"/>
      <c r="D474" s="637" t="s">
        <v>498</v>
      </c>
      <c r="E474" s="622"/>
      <c r="F474" s="635"/>
      <c r="G474" s="622"/>
      <c r="H474" s="662"/>
    </row>
    <row r="475" spans="1:9" s="368" customFormat="1" ht="12.75" hidden="1" customHeight="1" x14ac:dyDescent="0.2">
      <c r="A475" s="618"/>
      <c r="B475" s="632"/>
      <c r="C475" s="633"/>
      <c r="D475" s="637" t="s">
        <v>499</v>
      </c>
      <c r="E475" s="622"/>
      <c r="F475" s="635"/>
      <c r="G475" s="622"/>
      <c r="H475" s="662"/>
      <c r="I475" s="309"/>
    </row>
    <row r="476" spans="1:9" s="368" customFormat="1" ht="12.75" hidden="1" customHeight="1" x14ac:dyDescent="0.2">
      <c r="A476" s="618"/>
      <c r="B476" s="632"/>
      <c r="C476" s="633"/>
      <c r="D476" s="637" t="s">
        <v>507</v>
      </c>
      <c r="E476" s="622"/>
      <c r="F476" s="635"/>
      <c r="G476" s="622"/>
      <c r="H476" s="662"/>
      <c r="I476" s="647"/>
    </row>
    <row r="477" spans="1:9" s="368" customFormat="1" ht="12.75" hidden="1" customHeight="1" x14ac:dyDescent="0.2">
      <c r="A477" s="618"/>
      <c r="B477" s="632"/>
      <c r="C477" s="633"/>
      <c r="D477" s="666" t="s">
        <v>516</v>
      </c>
      <c r="E477" s="622"/>
      <c r="F477" s="635"/>
      <c r="G477" s="622"/>
      <c r="H477" s="662"/>
      <c r="I477" s="643"/>
    </row>
    <row r="478" spans="1:9" s="368" customFormat="1" ht="12.75" customHeight="1" x14ac:dyDescent="0.2">
      <c r="A478" s="310"/>
      <c r="B478" s="309"/>
      <c r="C478" s="309"/>
      <c r="D478" s="675"/>
      <c r="E478" s="309"/>
      <c r="F478" s="676"/>
      <c r="G478" s="309"/>
      <c r="H478" s="662"/>
      <c r="I478" s="647"/>
    </row>
    <row r="479" spans="1:9" s="368" customFormat="1" ht="12.75" customHeight="1" thickBot="1" x14ac:dyDescent="0.25">
      <c r="A479" s="309"/>
      <c r="B479" s="613"/>
      <c r="C479" s="609"/>
      <c r="D479" s="675" t="s">
        <v>544</v>
      </c>
      <c r="E479" s="677">
        <f>SUBTOTAL(109,E5:E478)</f>
        <v>17759251.090000004</v>
      </c>
      <c r="F479" s="677">
        <f>SUBTOTAL(109,F5:F478)</f>
        <v>-92979.25</v>
      </c>
      <c r="G479" s="677">
        <f>ROUND(SUM(G5:G478),2)</f>
        <v>17666271.84</v>
      </c>
      <c r="H479" s="662"/>
    </row>
    <row r="480" spans="1:9" s="368" customFormat="1" ht="12.75" customHeight="1" thickTop="1" x14ac:dyDescent="0.2">
      <c r="A480" s="309"/>
      <c r="B480" s="613"/>
      <c r="C480" s="609"/>
      <c r="D480" s="309"/>
      <c r="E480" s="309"/>
      <c r="F480" s="606"/>
      <c r="G480" s="333">
        <f>ROUND(G479-E479-F479,2)</f>
        <v>0</v>
      </c>
      <c r="H480" s="662"/>
    </row>
    <row r="481" spans="1:10" s="368" customFormat="1" ht="12.75" customHeight="1" x14ac:dyDescent="0.2">
      <c r="A481" s="309"/>
      <c r="B481" s="613"/>
      <c r="C481" s="609"/>
      <c r="D481" s="309"/>
      <c r="E481" s="309"/>
      <c r="F481" s="606"/>
      <c r="G481" s="309"/>
      <c r="H481" s="662"/>
      <c r="I481" s="650"/>
    </row>
    <row r="482" spans="1:10" s="368" customFormat="1" ht="12.75" customHeight="1" x14ac:dyDescent="0.2">
      <c r="A482" s="309"/>
      <c r="B482" s="613"/>
      <c r="C482" s="609"/>
      <c r="D482" s="309"/>
      <c r="E482" s="309"/>
      <c r="F482" s="606"/>
      <c r="G482" s="309"/>
      <c r="H482" s="662"/>
    </row>
    <row r="483" spans="1:10" s="368" customFormat="1" ht="12.75" customHeight="1" x14ac:dyDescent="0.2">
      <c r="A483" s="309"/>
      <c r="B483" s="613"/>
      <c r="C483" s="609"/>
      <c r="D483" s="309"/>
      <c r="E483" s="309"/>
      <c r="F483" s="606"/>
      <c r="G483" s="309"/>
      <c r="H483" s="662"/>
    </row>
    <row r="484" spans="1:10" s="368" customFormat="1" ht="12.75" customHeight="1" x14ac:dyDescent="0.2">
      <c r="A484" s="309"/>
      <c r="B484" s="613"/>
      <c r="C484" s="609"/>
      <c r="D484" s="309"/>
      <c r="E484" s="309"/>
      <c r="F484" s="606"/>
      <c r="G484" s="309"/>
      <c r="H484" s="662"/>
      <c r="I484" s="309"/>
    </row>
    <row r="485" spans="1:10" s="368" customFormat="1" ht="12.75" customHeight="1" x14ac:dyDescent="0.2">
      <c r="A485" s="309"/>
      <c r="B485" s="613"/>
      <c r="C485" s="609"/>
      <c r="D485" s="309"/>
      <c r="E485" s="309"/>
      <c r="F485" s="606"/>
      <c r="G485" s="309"/>
      <c r="H485" s="662"/>
      <c r="I485" s="647"/>
    </row>
    <row r="486" spans="1:10" s="368" customFormat="1" ht="12.75" customHeight="1" x14ac:dyDescent="0.2">
      <c r="A486" s="678"/>
      <c r="B486" s="613"/>
      <c r="C486" s="375"/>
      <c r="D486" s="678" t="s">
        <v>545</v>
      </c>
      <c r="E486" s="333">
        <f>Consolidated!I159</f>
        <v>17759251.090000004</v>
      </c>
      <c r="F486" s="606"/>
      <c r="G486" s="333">
        <f>E486+F486</f>
        <v>17759251.090000004</v>
      </c>
      <c r="H486" s="662"/>
      <c r="I486" s="643"/>
    </row>
    <row r="487" spans="1:10" s="368" customFormat="1" ht="12.75" customHeight="1" x14ac:dyDescent="0.2">
      <c r="A487" s="309"/>
      <c r="B487" s="309"/>
      <c r="C487" s="309"/>
      <c r="D487" s="679" t="s">
        <v>494</v>
      </c>
      <c r="E487" s="309"/>
      <c r="F487" s="636">
        <f>F470+F461+F451+F434+F424+F414+F405+F398+F389+F380+F373+F362+F352+F342+F333+F324+F316+F306+F297+F281+F289+F271+F261+F252+F242+F231+F223+F212+F204+F197+F189+F180+F170+F152+F143+F135++F118+F107+F97+F89+F78+F77+F70+F54+F15+F6+F11+F133</f>
        <v>0</v>
      </c>
      <c r="G487" s="333">
        <f t="shared" ref="G487:G508" si="0">E487+F487</f>
        <v>0</v>
      </c>
      <c r="H487" s="662"/>
      <c r="I487" s="680"/>
    </row>
    <row r="488" spans="1:10" ht="12.75" hidden="1" customHeight="1" x14ac:dyDescent="0.2">
      <c r="D488" s="655" t="s">
        <v>495</v>
      </c>
      <c r="F488" s="636">
        <f t="shared" ref="F488:F506" si="1">SUM(SUMIF(D$14:D$478,D488,F$14:F$478))</f>
        <v>0</v>
      </c>
      <c r="G488" s="333">
        <f t="shared" si="0"/>
        <v>0</v>
      </c>
      <c r="H488" s="667"/>
    </row>
    <row r="489" spans="1:10" ht="12.75" hidden="1" customHeight="1" x14ac:dyDescent="0.2">
      <c r="D489" s="679" t="s">
        <v>519</v>
      </c>
      <c r="F489" s="636">
        <f t="shared" si="1"/>
        <v>0</v>
      </c>
      <c r="G489" s="333">
        <f t="shared" si="0"/>
        <v>0</v>
      </c>
    </row>
    <row r="490" spans="1:10" ht="12.75" hidden="1" customHeight="1" x14ac:dyDescent="0.2">
      <c r="D490" s="679" t="s">
        <v>529</v>
      </c>
      <c r="F490" s="636">
        <f t="shared" si="1"/>
        <v>0</v>
      </c>
      <c r="G490" s="333">
        <f t="shared" si="0"/>
        <v>0</v>
      </c>
    </row>
    <row r="491" spans="1:10" ht="12.75" hidden="1" customHeight="1" x14ac:dyDescent="0.2">
      <c r="D491" s="681" t="s">
        <v>514</v>
      </c>
      <c r="F491" s="636">
        <f t="shared" si="1"/>
        <v>0</v>
      </c>
      <c r="G491" s="333">
        <f t="shared" si="0"/>
        <v>0</v>
      </c>
    </row>
    <row r="492" spans="1:10" ht="12.75" hidden="1" customHeight="1" x14ac:dyDescent="0.2">
      <c r="D492" s="679" t="s">
        <v>496</v>
      </c>
      <c r="F492" s="636">
        <f t="shared" si="1"/>
        <v>0</v>
      </c>
      <c r="G492" s="333">
        <f t="shared" si="0"/>
        <v>0</v>
      </c>
    </row>
    <row r="493" spans="1:10" ht="12.75" hidden="1" customHeight="1" x14ac:dyDescent="0.2">
      <c r="D493" s="679" t="s">
        <v>521</v>
      </c>
      <c r="F493" s="636">
        <f t="shared" si="1"/>
        <v>0</v>
      </c>
      <c r="G493" s="333">
        <f t="shared" si="0"/>
        <v>0</v>
      </c>
    </row>
    <row r="494" spans="1:10" ht="12.75" hidden="1" customHeight="1" x14ac:dyDescent="0.2">
      <c r="D494" s="309" t="s">
        <v>498</v>
      </c>
      <c r="F494" s="636">
        <f t="shared" si="1"/>
        <v>0</v>
      </c>
      <c r="G494" s="333">
        <f t="shared" si="0"/>
        <v>0</v>
      </c>
    </row>
    <row r="495" spans="1:10" ht="12.75" hidden="1" customHeight="1" x14ac:dyDescent="0.2">
      <c r="A495" s="318"/>
      <c r="B495" s="650"/>
      <c r="C495" s="651"/>
      <c r="D495" s="679" t="s">
        <v>499</v>
      </c>
      <c r="E495" s="629"/>
      <c r="F495" s="636">
        <f t="shared" si="1"/>
        <v>0</v>
      </c>
      <c r="G495" s="333">
        <f t="shared" si="0"/>
        <v>0</v>
      </c>
    </row>
    <row r="496" spans="1:10" ht="12.75" hidden="1" customHeight="1" x14ac:dyDescent="0.2">
      <c r="D496" s="682" t="s">
        <v>546</v>
      </c>
      <c r="F496" s="636">
        <f t="shared" si="1"/>
        <v>0</v>
      </c>
      <c r="G496" s="333">
        <f t="shared" si="0"/>
        <v>0</v>
      </c>
      <c r="J496" s="333"/>
    </row>
    <row r="497" spans="1:10" ht="12.75" customHeight="1" x14ac:dyDescent="0.2">
      <c r="D497" s="682" t="s">
        <v>500</v>
      </c>
      <c r="F497" s="636">
        <f t="shared" si="1"/>
        <v>-59325.279999999999</v>
      </c>
      <c r="G497" s="333">
        <f t="shared" si="0"/>
        <v>-59325.279999999999</v>
      </c>
      <c r="J497" s="333"/>
    </row>
    <row r="498" spans="1:10" ht="12.75" customHeight="1" x14ac:dyDescent="0.2">
      <c r="D498" s="309" t="s">
        <v>501</v>
      </c>
      <c r="F498" s="636">
        <f t="shared" si="1"/>
        <v>-28444.44</v>
      </c>
      <c r="G498" s="333">
        <f t="shared" si="0"/>
        <v>-28444.44</v>
      </c>
      <c r="J498" s="333"/>
    </row>
    <row r="499" spans="1:10" ht="12.75" customHeight="1" x14ac:dyDescent="0.2">
      <c r="D499" s="309" t="s">
        <v>502</v>
      </c>
      <c r="F499" s="636">
        <f t="shared" si="1"/>
        <v>-546.79999999999995</v>
      </c>
      <c r="G499" s="333">
        <f t="shared" si="0"/>
        <v>-546.79999999999995</v>
      </c>
      <c r="J499" s="333"/>
    </row>
    <row r="500" spans="1:10" ht="12.75" customHeight="1" x14ac:dyDescent="0.2">
      <c r="D500" s="375" t="s">
        <v>503</v>
      </c>
      <c r="F500" s="636">
        <f t="shared" si="1"/>
        <v>-188.96</v>
      </c>
      <c r="G500" s="333">
        <f t="shared" si="0"/>
        <v>-188.96</v>
      </c>
    </row>
    <row r="501" spans="1:10" ht="12.75" customHeight="1" x14ac:dyDescent="0.2">
      <c r="D501" s="309" t="s">
        <v>504</v>
      </c>
      <c r="F501" s="636">
        <f t="shared" si="1"/>
        <v>-180</v>
      </c>
      <c r="G501" s="333">
        <f>E501+F501</f>
        <v>-180</v>
      </c>
      <c r="J501" s="333"/>
    </row>
    <row r="502" spans="1:10" ht="12.75" customHeight="1" x14ac:dyDescent="0.2">
      <c r="D502" s="375" t="s">
        <v>525</v>
      </c>
      <c r="F502" s="636">
        <f t="shared" si="1"/>
        <v>0</v>
      </c>
      <c r="G502" s="333">
        <f>E502+F502</f>
        <v>0</v>
      </c>
      <c r="J502" s="333"/>
    </row>
    <row r="503" spans="1:10" ht="12.75" hidden="1" customHeight="1" x14ac:dyDescent="0.2">
      <c r="A503" s="318"/>
      <c r="B503" s="650"/>
      <c r="C503" s="651"/>
      <c r="D503" s="679" t="s">
        <v>522</v>
      </c>
      <c r="E503" s="629"/>
      <c r="F503" s="636">
        <f t="shared" si="1"/>
        <v>0</v>
      </c>
      <c r="G503" s="333">
        <f t="shared" si="0"/>
        <v>0</v>
      </c>
    </row>
    <row r="504" spans="1:10" ht="12.75" hidden="1" customHeight="1" x14ac:dyDescent="0.2">
      <c r="D504" s="375" t="s">
        <v>526</v>
      </c>
      <c r="F504" s="636">
        <f t="shared" si="1"/>
        <v>0</v>
      </c>
      <c r="G504" s="333">
        <f t="shared" si="0"/>
        <v>0</v>
      </c>
    </row>
    <row r="505" spans="1:10" ht="12.75" hidden="1" customHeight="1" x14ac:dyDescent="0.2">
      <c r="D505" s="375" t="s">
        <v>506</v>
      </c>
      <c r="F505" s="636">
        <f t="shared" si="1"/>
        <v>0</v>
      </c>
      <c r="G505" s="333">
        <f t="shared" si="0"/>
        <v>0</v>
      </c>
    </row>
    <row r="506" spans="1:10" s="368" customFormat="1" ht="12.75" hidden="1" customHeight="1" x14ac:dyDescent="0.2">
      <c r="A506" s="309"/>
      <c r="B506" s="309"/>
      <c r="C506" s="309"/>
      <c r="D506" s="375" t="s">
        <v>507</v>
      </c>
      <c r="E506" s="309"/>
      <c r="F506" s="636">
        <f t="shared" si="1"/>
        <v>0</v>
      </c>
      <c r="G506" s="333">
        <f t="shared" si="0"/>
        <v>0</v>
      </c>
      <c r="H506" s="662"/>
      <c r="I506" s="647"/>
    </row>
    <row r="507" spans="1:10" ht="12.75" customHeight="1" x14ac:dyDescent="0.2">
      <c r="D507" s="679" t="s">
        <v>547</v>
      </c>
      <c r="F507" s="683">
        <f>SUM(SUMIF(D$14:D$478,"*WPB*",F$14:F$478))</f>
        <v>-4293.7700000000004</v>
      </c>
      <c r="G507" s="333">
        <f t="shared" si="0"/>
        <v>-4293.7700000000004</v>
      </c>
    </row>
    <row r="508" spans="1:10" ht="12.75" hidden="1" customHeight="1" x14ac:dyDescent="0.2">
      <c r="D508" s="679" t="s">
        <v>515</v>
      </c>
      <c r="F508" s="683">
        <f>SUM(SUMIF(D$14:D$478,"*FEFP ADJ*",F$14:F$478))</f>
        <v>0</v>
      </c>
      <c r="G508" s="333">
        <f t="shared" si="0"/>
        <v>0</v>
      </c>
    </row>
    <row r="509" spans="1:10" ht="12.75" customHeight="1" x14ac:dyDescent="0.2">
      <c r="D509" s="679"/>
      <c r="F509" s="683"/>
      <c r="G509" s="333"/>
    </row>
    <row r="510" spans="1:10" ht="12.75" customHeight="1" thickBot="1" x14ac:dyDescent="0.25">
      <c r="D510" s="684" t="s">
        <v>548</v>
      </c>
      <c r="E510" s="677">
        <f>SUM(E486:E508)</f>
        <v>17759251.090000004</v>
      </c>
      <c r="F510" s="677">
        <f>SUM(F486:F508)</f>
        <v>-92979.250000000015</v>
      </c>
      <c r="G510" s="677">
        <f>SUM(G486:G509)</f>
        <v>17666271.84</v>
      </c>
    </row>
    <row r="511" spans="1:10" ht="12.75" customHeight="1" thickTop="1" x14ac:dyDescent="0.2">
      <c r="D511" s="684"/>
      <c r="E511" s="333"/>
      <c r="F511" s="333"/>
      <c r="G511" s="333"/>
    </row>
    <row r="512" spans="1:10" ht="12.75" customHeight="1" x14ac:dyDescent="0.2">
      <c r="D512" s="684"/>
      <c r="E512" s="333"/>
      <c r="F512" s="333">
        <f>F510-F479</f>
        <v>0</v>
      </c>
      <c r="G512" s="333">
        <f>G479-G510</f>
        <v>0</v>
      </c>
    </row>
    <row r="513" spans="1:9" ht="12" customHeight="1" x14ac:dyDescent="0.2">
      <c r="D513" s="684"/>
      <c r="E513" s="333"/>
      <c r="F513" s="333"/>
      <c r="G513" s="333"/>
    </row>
    <row r="514" spans="1:9" ht="12.75" customHeight="1" thickBot="1" x14ac:dyDescent="0.25">
      <c r="E514" s="333"/>
      <c r="F514" s="333"/>
      <c r="G514" s="333"/>
    </row>
    <row r="515" spans="1:9" ht="12.75" customHeight="1" thickBot="1" x14ac:dyDescent="0.25">
      <c r="C515" s="799" t="s">
        <v>492</v>
      </c>
      <c r="D515" s="800"/>
      <c r="E515" s="800"/>
      <c r="F515" s="800"/>
      <c r="G515" s="801"/>
    </row>
    <row r="516" spans="1:9" s="368" customFormat="1" ht="12.75" customHeight="1" x14ac:dyDescent="0.2">
      <c r="A516" s="309"/>
      <c r="B516" s="309"/>
      <c r="C516" s="788"/>
      <c r="D516" s="789"/>
      <c r="E516" s="789"/>
      <c r="F516" s="789"/>
      <c r="G516" s="685"/>
      <c r="H516" s="662"/>
      <c r="I516" s="309"/>
    </row>
    <row r="517" spans="1:9" ht="12.75" customHeight="1" x14ac:dyDescent="0.2">
      <c r="C517" s="686" t="s">
        <v>585</v>
      </c>
      <c r="D517" s="790"/>
      <c r="E517" s="790"/>
      <c r="F517" s="791"/>
      <c r="G517" s="687"/>
    </row>
    <row r="518" spans="1:9" ht="12.75" customHeight="1" x14ac:dyDescent="0.2">
      <c r="C518" s="688" t="s">
        <v>560</v>
      </c>
      <c r="D518" s="790"/>
      <c r="E518" s="790"/>
      <c r="F518" s="791"/>
      <c r="G518" s="687"/>
    </row>
    <row r="519" spans="1:9" ht="12.75" customHeight="1" x14ac:dyDescent="0.2">
      <c r="C519" s="688"/>
      <c r="D519" s="791"/>
      <c r="E519" s="791"/>
      <c r="F519" s="791"/>
      <c r="G519" s="687"/>
    </row>
    <row r="520" spans="1:9" ht="12.75" customHeight="1" x14ac:dyDescent="0.2">
      <c r="C520" s="689" t="s">
        <v>586</v>
      </c>
      <c r="D520" s="792"/>
      <c r="E520" s="792"/>
      <c r="F520" s="792"/>
      <c r="G520" s="690"/>
      <c r="H520" s="691"/>
      <c r="I520" s="368"/>
    </row>
    <row r="521" spans="1:9" ht="12.75" customHeight="1" x14ac:dyDescent="0.2">
      <c r="C521" s="692" t="s">
        <v>549</v>
      </c>
      <c r="D521" s="792"/>
      <c r="E521" s="792"/>
      <c r="F521" s="792"/>
      <c r="G521" s="690"/>
      <c r="H521" s="691"/>
      <c r="I521" s="368"/>
    </row>
    <row r="522" spans="1:9" ht="12.75" customHeight="1" x14ac:dyDescent="0.2">
      <c r="C522" s="693"/>
      <c r="D522" s="793"/>
      <c r="E522" s="793"/>
      <c r="F522" s="793"/>
      <c r="G522" s="694"/>
      <c r="H522" s="691"/>
      <c r="I522" s="368"/>
    </row>
    <row r="523" spans="1:9" ht="12.75" customHeight="1" x14ac:dyDescent="0.2">
      <c r="C523" s="686" t="s">
        <v>587</v>
      </c>
      <c r="D523" s="793"/>
      <c r="E523" s="793"/>
      <c r="F523" s="793"/>
      <c r="G523" s="694"/>
      <c r="H523" s="691"/>
      <c r="I523" s="368"/>
    </row>
    <row r="524" spans="1:9" ht="12.75" customHeight="1" x14ac:dyDescent="0.2">
      <c r="C524" s="688" t="s">
        <v>550</v>
      </c>
      <c r="D524" s="793"/>
      <c r="E524" s="793"/>
      <c r="F524" s="793"/>
      <c r="G524" s="694"/>
      <c r="H524" s="691"/>
      <c r="I524" s="368"/>
    </row>
    <row r="525" spans="1:9" ht="12.75" customHeight="1" x14ac:dyDescent="0.2">
      <c r="C525" s="693"/>
      <c r="D525" s="793"/>
      <c r="E525" s="793"/>
      <c r="F525" s="793"/>
      <c r="G525" s="694"/>
      <c r="H525" s="691"/>
      <c r="I525" s="368"/>
    </row>
    <row r="526" spans="1:9" ht="12.75" customHeight="1" x14ac:dyDescent="0.2">
      <c r="C526" s="785" t="s">
        <v>566</v>
      </c>
      <c r="D526" s="794"/>
      <c r="E526" s="794"/>
      <c r="F526" s="794"/>
      <c r="G526" s="694"/>
      <c r="H526" s="691"/>
      <c r="I526" s="368"/>
    </row>
    <row r="527" spans="1:9" ht="12.75" customHeight="1" x14ac:dyDescent="0.2">
      <c r="C527" s="786" t="s">
        <v>588</v>
      </c>
      <c r="D527" s="794"/>
      <c r="E527" s="794"/>
      <c r="F527" s="794"/>
      <c r="G527" s="694"/>
      <c r="H527" s="691"/>
      <c r="I527" s="368"/>
    </row>
    <row r="528" spans="1:9" ht="12.75" customHeight="1" x14ac:dyDescent="0.2">
      <c r="C528" s="786" t="s">
        <v>562</v>
      </c>
      <c r="D528" s="794"/>
      <c r="E528" s="794"/>
      <c r="F528" s="794"/>
      <c r="G528" s="694"/>
      <c r="H528" s="691"/>
      <c r="I528" s="368"/>
    </row>
    <row r="529" spans="3:9" ht="14.25" customHeight="1" x14ac:dyDescent="0.2">
      <c r="C529" s="786" t="s">
        <v>567</v>
      </c>
      <c r="D529" s="794"/>
      <c r="E529" s="794"/>
      <c r="F529" s="794"/>
      <c r="G529" s="694"/>
      <c r="H529" s="691"/>
      <c r="I529" s="368"/>
    </row>
    <row r="530" spans="3:9" ht="12.75" customHeight="1" x14ac:dyDescent="0.2">
      <c r="C530" s="787" t="s">
        <v>563</v>
      </c>
      <c r="D530" s="794"/>
      <c r="E530" s="794"/>
      <c r="F530" s="794"/>
      <c r="G530" s="694"/>
      <c r="H530" s="691"/>
      <c r="I530" s="368"/>
    </row>
    <row r="531" spans="3:9" ht="12.75" customHeight="1" thickBot="1" x14ac:dyDescent="0.25">
      <c r="C531" s="795" t="s">
        <v>564</v>
      </c>
      <c r="D531" s="796"/>
      <c r="E531" s="796"/>
      <c r="F531" s="796"/>
      <c r="G531" s="695"/>
      <c r="H531" s="691"/>
      <c r="I531" s="368"/>
    </row>
    <row r="532" spans="3:9" ht="12.75" customHeight="1" x14ac:dyDescent="0.2">
      <c r="H532" s="691"/>
      <c r="I532" s="368"/>
    </row>
    <row r="533" spans="3:9" ht="12.75" customHeight="1" x14ac:dyDescent="0.2">
      <c r="H533" s="691"/>
      <c r="I533" s="368"/>
    </row>
    <row r="534" spans="3:9" ht="12.75" customHeight="1" x14ac:dyDescent="0.2">
      <c r="H534" s="691"/>
      <c r="I534" s="368"/>
    </row>
    <row r="535" spans="3:9" ht="12.75" customHeight="1" x14ac:dyDescent="0.2">
      <c r="H535" s="691"/>
      <c r="I535" s="368"/>
    </row>
    <row r="536" spans="3:9" ht="12.75" customHeight="1" x14ac:dyDescent="0.2">
      <c r="H536" s="691"/>
      <c r="I536" s="368"/>
    </row>
    <row r="537" spans="3:9" ht="12.75" customHeight="1" x14ac:dyDescent="0.2">
      <c r="H537" s="691"/>
      <c r="I537" s="368"/>
    </row>
    <row r="538" spans="3:9" ht="12.75" customHeight="1" x14ac:dyDescent="0.2">
      <c r="H538" s="691"/>
      <c r="I538" s="368"/>
    </row>
    <row r="539" spans="3:9" ht="12.75" customHeight="1" x14ac:dyDescent="0.2">
      <c r="H539" s="691"/>
      <c r="I539" s="368"/>
    </row>
    <row r="540" spans="3:9" ht="12.75" customHeight="1" x14ac:dyDescent="0.2">
      <c r="H540" s="691"/>
      <c r="I540" s="368"/>
    </row>
    <row r="541" spans="3:9" ht="12.75" customHeight="1" x14ac:dyDescent="0.2">
      <c r="H541" s="366"/>
    </row>
    <row r="542" spans="3:9" ht="12.75" customHeight="1" x14ac:dyDescent="0.2">
      <c r="E542" s="314"/>
      <c r="F542" s="309"/>
    </row>
    <row r="543" spans="3:9" ht="12.75" customHeight="1" x14ac:dyDescent="0.2">
      <c r="E543" s="314"/>
      <c r="F543" s="309"/>
    </row>
    <row r="545" spans="8:11" ht="12.75" customHeight="1" x14ac:dyDescent="0.2">
      <c r="K545" s="314"/>
    </row>
    <row r="546" spans="8:11" ht="12.75" customHeight="1" x14ac:dyDescent="0.2">
      <c r="K546" s="314"/>
    </row>
    <row r="552" spans="8:11" ht="12.75" customHeight="1" x14ac:dyDescent="0.2">
      <c r="H552" s="309"/>
    </row>
    <row r="553" spans="8:11" ht="12.75" customHeight="1" x14ac:dyDescent="0.2">
      <c r="H553" s="309"/>
    </row>
  </sheetData>
  <mergeCells count="2">
    <mergeCell ref="F3:G3"/>
    <mergeCell ref="C515:G515"/>
  </mergeCells>
  <conditionalFormatting sqref="A14:A478">
    <cfRule type="cellIs" dxfId="17" priority="1" operator="equal">
      <formula>0</formula>
    </cfRule>
  </conditionalFormatting>
  <conditionalFormatting sqref="A495">
    <cfRule type="cellIs" dxfId="16" priority="2" operator="equal">
      <formula>0</formula>
    </cfRule>
  </conditionalFormatting>
  <conditionalFormatting sqref="A503">
    <cfRule type="cellIs" dxfId="15" priority="7" operator="equal">
      <formula>0</formula>
    </cfRule>
  </conditionalFormatting>
  <conditionalFormatting sqref="H497:H505 H507:H515">
    <cfRule type="cellIs" dxfId="14" priority="5" stopIfTrue="1" operator="notEqual">
      <formula>0</formula>
    </cfRule>
    <cfRule type="cellIs" dxfId="13" priority="6" stopIfTrue="1" operator="equal">
      <formula>0</formula>
    </cfRule>
  </conditionalFormatting>
  <conditionalFormatting sqref="H517:H519">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workbookViewId="0">
      <selection activeCell="M52" sqref="M52"/>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48" bestFit="1" customWidth="1"/>
    <col min="18" max="18" width="9.5703125" style="348" bestFit="1" customWidth="1"/>
    <col min="19" max="19" width="11" style="348" bestFit="1" customWidth="1"/>
    <col min="20" max="20" width="2.7109375" style="309" customWidth="1"/>
    <col min="21" max="21" width="9.140625" style="309"/>
    <col min="22" max="22" width="11" style="309" bestFit="1" customWidth="1"/>
    <col min="23" max="23" width="10" style="309" bestFit="1" customWidth="1"/>
    <col min="24" max="24" width="9.140625" style="309"/>
    <col min="25" max="25" width="11" style="309" bestFit="1" customWidth="1"/>
    <col min="26" max="26" width="9.5703125" style="309" bestFit="1" customWidth="1"/>
    <col min="27" max="16384" width="9.140625" style="309"/>
  </cols>
  <sheetData>
    <row r="4" spans="1:26" x14ac:dyDescent="0.2">
      <c r="D4" s="315"/>
      <c r="E4" s="316">
        <v>0.75</v>
      </c>
      <c r="F4" s="315" t="s">
        <v>192</v>
      </c>
      <c r="G4" s="315" t="s">
        <v>193</v>
      </c>
      <c r="H4" s="317"/>
      <c r="I4" s="802" t="s">
        <v>194</v>
      </c>
      <c r="J4" s="803"/>
      <c r="K4" s="803"/>
      <c r="L4" s="804"/>
      <c r="M4" s="315" t="s">
        <v>195</v>
      </c>
      <c r="N4" s="318"/>
      <c r="Q4" s="805" t="s">
        <v>196</v>
      </c>
      <c r="R4" s="805"/>
      <c r="S4" s="805"/>
      <c r="U4" s="806" t="s">
        <v>197</v>
      </c>
      <c r="V4" s="806"/>
      <c r="W4" s="806"/>
    </row>
    <row r="5" spans="1:26" x14ac:dyDescent="0.2">
      <c r="A5" s="309" t="s">
        <v>52</v>
      </c>
      <c r="B5" s="309" t="s">
        <v>52</v>
      </c>
      <c r="C5" s="309" t="s">
        <v>52</v>
      </c>
      <c r="D5" s="319" t="s">
        <v>198</v>
      </c>
      <c r="E5" s="319" t="s">
        <v>199</v>
      </c>
      <c r="F5" s="319" t="s">
        <v>193</v>
      </c>
      <c r="G5" s="320" t="s">
        <v>200</v>
      </c>
      <c r="H5" s="317" t="s">
        <v>52</v>
      </c>
      <c r="I5" s="321" t="s">
        <v>201</v>
      </c>
      <c r="J5" s="321" t="s">
        <v>202</v>
      </c>
      <c r="K5" s="321" t="s">
        <v>203</v>
      </c>
      <c r="L5" s="322" t="s">
        <v>204</v>
      </c>
      <c r="M5" s="323" t="s">
        <v>205</v>
      </c>
      <c r="N5" s="318" t="s">
        <v>52</v>
      </c>
      <c r="O5" s="321" t="s">
        <v>206</v>
      </c>
      <c r="P5" s="309" t="s">
        <v>52</v>
      </c>
      <c r="Q5" s="324" t="s">
        <v>207</v>
      </c>
      <c r="R5" s="324" t="s">
        <v>208</v>
      </c>
      <c r="S5" s="324" t="s">
        <v>209</v>
      </c>
      <c r="T5" s="309" t="s">
        <v>52</v>
      </c>
      <c r="U5" s="321" t="s">
        <v>198</v>
      </c>
      <c r="V5" s="321" t="s">
        <v>210</v>
      </c>
      <c r="W5" s="321" t="s">
        <v>211</v>
      </c>
    </row>
    <row r="6" spans="1:26" x14ac:dyDescent="0.2">
      <c r="A6" s="310">
        <v>1</v>
      </c>
      <c r="B6" s="325" t="s">
        <v>212</v>
      </c>
      <c r="C6" s="326" t="s">
        <v>213</v>
      </c>
      <c r="D6" s="327">
        <v>0</v>
      </c>
      <c r="E6" s="327"/>
      <c r="F6" s="328">
        <f>-K6/I6</f>
        <v>4.761597027987604E-2</v>
      </c>
      <c r="G6" s="329">
        <f>-K6/J6</f>
        <v>5.0000010168790396E-2</v>
      </c>
      <c r="H6" s="330"/>
      <c r="I6" s="331">
        <f>'0040'!$J$107</f>
        <v>309791.44</v>
      </c>
      <c r="J6" s="331">
        <f>'0040'!$J$109</f>
        <v>295020.34000000003</v>
      </c>
      <c r="K6" s="331">
        <f>'0040'!$J$114</f>
        <v>-14751.02</v>
      </c>
      <c r="L6" s="331">
        <f>'0040'!$J$116</f>
        <v>295040.42</v>
      </c>
      <c r="M6" s="332">
        <f>'0040'!$J$124</f>
        <v>24538.63</v>
      </c>
      <c r="N6" s="333"/>
      <c r="O6" s="331" cm="1">
        <f t="array" ref="O6:P6">'0040'!E28:F28</f>
        <v>35.4</v>
      </c>
      <c r="P6" s="309">
        <v>0</v>
      </c>
      <c r="Q6" s="332">
        <f>I6/O6</f>
        <v>8751.1706214689275</v>
      </c>
      <c r="R6" s="332">
        <f>K6/O6</f>
        <v>-416.69548022598872</v>
      </c>
      <c r="S6" s="332">
        <f>L6/O6</f>
        <v>8334.4751412429378</v>
      </c>
      <c r="U6" s="332">
        <f>IF(D6="H",S6,0)</f>
        <v>0</v>
      </c>
      <c r="V6" s="332">
        <f t="shared" ref="V6:V56" si="0">ROUND(IF(E6=1,S6,0),2)</f>
        <v>0</v>
      </c>
      <c r="W6" s="332">
        <f t="shared" ref="W6:W52" si="1">IF(AND(U6=0,V6=0),S6,)</f>
        <v>8334.4751412429378</v>
      </c>
      <c r="Y6" s="784">
        <v>24304.65</v>
      </c>
      <c r="Z6" s="333">
        <f>Y6-M6</f>
        <v>-233.97999999999956</v>
      </c>
    </row>
    <row r="7" spans="1:26" x14ac:dyDescent="0.2">
      <c r="A7" s="310">
        <v>2</v>
      </c>
      <c r="B7" s="777" t="s">
        <v>556</v>
      </c>
      <c r="C7" s="326" t="s">
        <v>557</v>
      </c>
      <c r="D7" s="327"/>
      <c r="E7" s="776"/>
      <c r="F7" s="328">
        <f>-K7/I7</f>
        <v>4.751796202854635E-2</v>
      </c>
      <c r="G7" s="329">
        <f>-K7/J7</f>
        <v>5.0000007707835227E-2</v>
      </c>
      <c r="H7" s="330"/>
      <c r="I7" s="331">
        <f>'0571'!$J$107</f>
        <v>409544.5</v>
      </c>
      <c r="J7" s="331">
        <f>'0571'!$J$109</f>
        <v>389214.34</v>
      </c>
      <c r="K7" s="331">
        <f>'0571'!$J$114</f>
        <v>-19460.72</v>
      </c>
      <c r="L7" s="331">
        <f>'0571'!$J$116</f>
        <v>390083.78</v>
      </c>
      <c r="M7" s="332">
        <f>'0571'!$J$124</f>
        <v>43342.64</v>
      </c>
      <c r="N7" s="333"/>
      <c r="O7" s="331" cm="1">
        <f t="array" ref="O7:P7">'0571'!E28:F28</f>
        <v>52</v>
      </c>
      <c r="P7" s="309">
        <v>0</v>
      </c>
      <c r="Q7" s="332">
        <f>I7/O7</f>
        <v>7875.8557692307695</v>
      </c>
      <c r="R7" s="332">
        <f>K7/O7</f>
        <v>-374.24461538461543</v>
      </c>
      <c r="S7" s="332">
        <f>L7/O7</f>
        <v>7501.6111538461546</v>
      </c>
      <c r="U7" s="332">
        <f>IF(D7="H",S7,0)</f>
        <v>0</v>
      </c>
      <c r="V7" s="332">
        <f t="shared" ref="V7" si="2">ROUND(IF(E7=1,S7,0),2)</f>
        <v>0</v>
      </c>
      <c r="W7" s="332">
        <f t="shared" ref="W7" si="3">IF(AND(U7=0,V7=0),S7,)</f>
        <v>7501.6111538461546</v>
      </c>
      <c r="Y7" s="784">
        <v>43342.64</v>
      </c>
      <c r="Z7" s="333">
        <f t="shared" ref="Z7:Z56" si="4">Y7-M7</f>
        <v>0</v>
      </c>
    </row>
    <row r="8" spans="1:26" x14ac:dyDescent="0.2">
      <c r="A8" s="310">
        <v>3</v>
      </c>
      <c r="B8" s="334" t="s">
        <v>214</v>
      </c>
      <c r="C8" s="778" t="s">
        <v>215</v>
      </c>
      <c r="D8" s="327">
        <v>0</v>
      </c>
      <c r="E8" s="783">
        <v>1</v>
      </c>
      <c r="F8" s="328">
        <f>-K8/I8</f>
        <v>1.2176839293992043E-2</v>
      </c>
      <c r="G8" s="329">
        <f t="shared" ref="G8:G58" si="5">-K8/J8</f>
        <v>1.2720494564830799E-2</v>
      </c>
      <c r="H8" s="318"/>
      <c r="I8" s="331">
        <f>'0100'!$J$107</f>
        <v>323090.41000000003</v>
      </c>
      <c r="J8" s="331">
        <f>'0100'!$J$109</f>
        <v>309282.00000000006</v>
      </c>
      <c r="K8" s="331">
        <f>'0100'!$J$114</f>
        <v>-3934.22</v>
      </c>
      <c r="L8" s="331">
        <f>'0100'!$J$116</f>
        <v>319156.19000000006</v>
      </c>
      <c r="M8" s="332">
        <f>'0100'!$J$124</f>
        <v>28707.39</v>
      </c>
      <c r="N8" s="318"/>
      <c r="O8" s="589" cm="1">
        <f t="array" ref="O8:P8">'0100'!E28:F28</f>
        <v>11.459999999999999</v>
      </c>
      <c r="P8" s="309">
        <v>0</v>
      </c>
      <c r="Q8" s="332">
        <f>I8/O8</f>
        <v>28192.880453752186</v>
      </c>
      <c r="R8" s="332">
        <f t="shared" ref="R8:R52" si="6">K8/O8</f>
        <v>-343.30017452006985</v>
      </c>
      <c r="S8" s="332">
        <f>L8/O8</f>
        <v>27849.580279232119</v>
      </c>
      <c r="U8" s="332">
        <f>IF(D8="H",S8,0)</f>
        <v>0</v>
      </c>
      <c r="V8" s="332">
        <f t="shared" si="0"/>
        <v>27849.58</v>
      </c>
      <c r="W8" s="332">
        <f t="shared" si="1"/>
        <v>0</v>
      </c>
      <c r="Y8" s="784">
        <v>26847.15</v>
      </c>
      <c r="Z8" s="333">
        <f t="shared" si="4"/>
        <v>-1860.239999999998</v>
      </c>
    </row>
    <row r="9" spans="1:26" x14ac:dyDescent="0.2">
      <c r="A9" s="310">
        <v>4</v>
      </c>
      <c r="B9" s="335" t="s">
        <v>216</v>
      </c>
      <c r="C9" s="326" t="s">
        <v>217</v>
      </c>
      <c r="D9" s="327" t="s">
        <v>436</v>
      </c>
      <c r="E9" s="327" t="s">
        <v>554</v>
      </c>
      <c r="F9" s="328">
        <f>-K9/I9</f>
        <v>5.5905695484374743E-3</v>
      </c>
      <c r="G9" s="329">
        <f t="shared" si="5"/>
        <v>5.803493925600851E-3</v>
      </c>
      <c r="H9" s="330"/>
      <c r="I9" s="331">
        <f>'1461'!$J$107</f>
        <v>7633887.6799999997</v>
      </c>
      <c r="J9" s="331">
        <f>'1461'!$J$109</f>
        <v>7353807.9899999993</v>
      </c>
      <c r="K9" s="331">
        <f>'1461'!$J$114</f>
        <v>-42677.78</v>
      </c>
      <c r="L9" s="331">
        <f>'1461'!$J$116</f>
        <v>7591209.8999999994</v>
      </c>
      <c r="M9" s="332">
        <f>'1461'!$J$124</f>
        <v>659372.19999999995</v>
      </c>
      <c r="N9" s="333"/>
      <c r="O9" s="331" cm="1">
        <f t="array" ref="O9:P9">'1461'!E28:F28</f>
        <v>861.55</v>
      </c>
      <c r="P9" s="309">
        <v>0</v>
      </c>
      <c r="Q9" s="332">
        <f>I9/O9</f>
        <v>8860.6438163774601</v>
      </c>
      <c r="R9" s="332">
        <f t="shared" si="6"/>
        <v>-49.536045499390632</v>
      </c>
      <c r="S9" s="332">
        <f t="shared" ref="S9:S52" si="7">L9/O9</f>
        <v>8811.1077708780685</v>
      </c>
      <c r="U9" s="332">
        <f>IF(D9="H",S9,0)</f>
        <v>8811.1077708780685</v>
      </c>
      <c r="V9" s="332">
        <f t="shared" si="0"/>
        <v>0</v>
      </c>
      <c r="W9" s="332">
        <f t="shared" si="1"/>
        <v>0</v>
      </c>
      <c r="Y9" s="784">
        <v>529634.37</v>
      </c>
      <c r="Z9" s="333">
        <f t="shared" si="4"/>
        <v>-129737.82999999996</v>
      </c>
    </row>
    <row r="10" spans="1:26" x14ac:dyDescent="0.2">
      <c r="A10" s="310">
        <v>5</v>
      </c>
      <c r="B10" s="335" t="s">
        <v>218</v>
      </c>
      <c r="C10" s="326" t="s">
        <v>219</v>
      </c>
      <c r="D10" s="327" t="s">
        <v>436</v>
      </c>
      <c r="E10" s="327" t="s">
        <v>554</v>
      </c>
      <c r="F10" s="328">
        <f t="shared" ref="F10:F53" si="8">-K10/I10</f>
        <v>4.3592807405912308E-3</v>
      </c>
      <c r="G10" s="329">
        <f t="shared" si="5"/>
        <v>4.5569295295062604E-3</v>
      </c>
      <c r="H10" s="330"/>
      <c r="I10" s="331">
        <f>'1571'!$J$107</f>
        <v>10272240.459999999</v>
      </c>
      <c r="J10" s="331">
        <f>'1571'!$J$109</f>
        <v>9826700.129999999</v>
      </c>
      <c r="K10" s="331">
        <f>'1571'!$J$114</f>
        <v>-44779.58</v>
      </c>
      <c r="L10" s="331">
        <f>'1571'!$J$116</f>
        <v>10227460.879999999</v>
      </c>
      <c r="M10" s="332">
        <f>'1571'!$J$124</f>
        <v>860836.4</v>
      </c>
      <c r="N10" s="333"/>
      <c r="O10" s="331" cm="1">
        <f t="array" ref="O10:P10">'1571'!E28:F28</f>
        <v>1097.23</v>
      </c>
      <c r="P10" s="309">
        <v>0</v>
      </c>
      <c r="Q10" s="332">
        <f t="shared" ref="Q10:Q52" si="9">I10/O10</f>
        <v>9361.975574856684</v>
      </c>
      <c r="R10" s="332">
        <f t="shared" si="6"/>
        <v>-40.811479817358254</v>
      </c>
      <c r="S10" s="332">
        <f t="shared" si="7"/>
        <v>9321.1640950393248</v>
      </c>
      <c r="U10" s="332">
        <f t="shared" ref="U10:U56" si="10">IF(D10="H",S10,0)</f>
        <v>9321.1640950393248</v>
      </c>
      <c r="V10" s="332">
        <f t="shared" si="0"/>
        <v>0</v>
      </c>
      <c r="W10" s="332">
        <f t="shared" si="1"/>
        <v>0</v>
      </c>
      <c r="Y10" s="784">
        <v>860856.7</v>
      </c>
      <c r="Z10" s="333">
        <f t="shared" si="4"/>
        <v>20.299999999930151</v>
      </c>
    </row>
    <row r="11" spans="1:26" x14ac:dyDescent="0.2">
      <c r="A11" s="310">
        <v>6</v>
      </c>
      <c r="B11" s="335" t="s">
        <v>220</v>
      </c>
      <c r="C11" s="326" t="s">
        <v>221</v>
      </c>
      <c r="D11" s="327">
        <v>0</v>
      </c>
      <c r="E11" s="327">
        <v>1</v>
      </c>
      <c r="F11" s="328">
        <f t="shared" si="8"/>
        <v>2.0656297472226956E-2</v>
      </c>
      <c r="G11" s="329">
        <f t="shared" si="5"/>
        <v>2.1465408819142384E-2</v>
      </c>
      <c r="H11" s="330"/>
      <c r="I11" s="331">
        <f>'2521'!$J$107</f>
        <v>1352435.5</v>
      </c>
      <c r="J11" s="331">
        <f>'2521'!$J$109</f>
        <v>1301457.1599999999</v>
      </c>
      <c r="K11" s="331">
        <f>'2521'!$J$114</f>
        <v>-27936.31</v>
      </c>
      <c r="L11" s="331">
        <f>'2521'!$J$116</f>
        <v>1324499.19</v>
      </c>
      <c r="M11" s="332">
        <f>'2521'!$J$124</f>
        <v>109705.05</v>
      </c>
      <c r="N11" s="333"/>
      <c r="O11" s="331" cm="1">
        <f t="array" ref="O11:P11">'2521'!E28:F28</f>
        <v>72.699999999999989</v>
      </c>
      <c r="P11" s="309">
        <v>0</v>
      </c>
      <c r="Q11" s="332">
        <f t="shared" si="9"/>
        <v>18602.964236588723</v>
      </c>
      <c r="R11" s="332">
        <f t="shared" si="6"/>
        <v>-384.26836313617616</v>
      </c>
      <c r="S11" s="332">
        <f t="shared" si="7"/>
        <v>18218.695873452547</v>
      </c>
      <c r="U11" s="332">
        <f t="shared" si="10"/>
        <v>0</v>
      </c>
      <c r="V11" s="332">
        <f t="shared" si="0"/>
        <v>18218.7</v>
      </c>
      <c r="W11" s="332">
        <f t="shared" si="1"/>
        <v>0</v>
      </c>
      <c r="Y11" s="784">
        <v>109895.2</v>
      </c>
      <c r="Z11" s="333">
        <f t="shared" si="4"/>
        <v>190.14999999999418</v>
      </c>
    </row>
    <row r="12" spans="1:26" x14ac:dyDescent="0.2">
      <c r="A12" s="310">
        <v>7</v>
      </c>
      <c r="B12" s="335" t="s">
        <v>222</v>
      </c>
      <c r="C12" s="326" t="s">
        <v>223</v>
      </c>
      <c r="D12" s="327">
        <v>0</v>
      </c>
      <c r="E12" s="327">
        <v>1</v>
      </c>
      <c r="F12" s="328">
        <f t="shared" si="8"/>
        <v>1.0666195387298374E-2</v>
      </c>
      <c r="G12" s="329">
        <f t="shared" si="5"/>
        <v>1.117993148908202E-2</v>
      </c>
      <c r="H12" s="330"/>
      <c r="I12" s="331">
        <f>'2531'!$J$107</f>
        <v>1642055.0499999998</v>
      </c>
      <c r="J12" s="331">
        <f>'2531'!$J$109</f>
        <v>1566599.9399999997</v>
      </c>
      <c r="K12" s="331">
        <f>'2531'!$J$114</f>
        <v>-17514.48</v>
      </c>
      <c r="L12" s="331">
        <f>'2531'!$J$116</f>
        <v>1624540.5699999998</v>
      </c>
      <c r="M12" s="332">
        <f>'2531'!$J$124</f>
        <v>136859.32</v>
      </c>
      <c r="N12" s="333"/>
      <c r="O12" s="331" cm="1">
        <f t="array" ref="O12:P12">'2531'!E28:F28</f>
        <v>50.91</v>
      </c>
      <c r="P12" s="309">
        <v>0</v>
      </c>
      <c r="Q12" s="332">
        <f t="shared" si="9"/>
        <v>32254.076802199957</v>
      </c>
      <c r="R12" s="332">
        <f t="shared" si="6"/>
        <v>-344.02828520919269</v>
      </c>
      <c r="S12" s="332">
        <f t="shared" si="7"/>
        <v>31910.048516990766</v>
      </c>
      <c r="U12" s="332">
        <f t="shared" si="10"/>
        <v>0</v>
      </c>
      <c r="V12" s="332">
        <f t="shared" si="0"/>
        <v>31910.05</v>
      </c>
      <c r="W12" s="332">
        <f t="shared" si="1"/>
        <v>0</v>
      </c>
      <c r="Y12" s="784">
        <v>136643.49</v>
      </c>
      <c r="Z12" s="333">
        <f>Y12-M12</f>
        <v>-215.8300000000163</v>
      </c>
    </row>
    <row r="13" spans="1:26" x14ac:dyDescent="0.2">
      <c r="A13" s="310">
        <v>8</v>
      </c>
      <c r="B13" s="780">
        <v>2791</v>
      </c>
      <c r="C13" s="326" t="s">
        <v>225</v>
      </c>
      <c r="D13" s="327">
        <v>0</v>
      </c>
      <c r="E13" s="327">
        <v>1</v>
      </c>
      <c r="F13" s="328">
        <f t="shared" si="8"/>
        <v>9.6116055810507497E-3</v>
      </c>
      <c r="G13" s="329">
        <f t="shared" si="5"/>
        <v>1.0124225539214424E-2</v>
      </c>
      <c r="H13" s="330"/>
      <c r="I13" s="331">
        <f>'2791'!$J$107</f>
        <v>5484663.2599999998</v>
      </c>
      <c r="J13" s="331">
        <f>'2791'!$J$109</f>
        <v>5206958.2799999993</v>
      </c>
      <c r="K13" s="331">
        <f>'2791'!$J$114</f>
        <v>-52716.42</v>
      </c>
      <c r="L13" s="331">
        <f>'2791'!$J$116</f>
        <v>5431946.8399999999</v>
      </c>
      <c r="M13" s="332">
        <f>'2791'!$J$124</f>
        <v>455853.95</v>
      </c>
      <c r="N13" s="333"/>
      <c r="O13" s="331" cm="1">
        <f t="array" ref="O13:P13">'2791'!E28:F28</f>
        <v>164.59</v>
      </c>
      <c r="P13" s="309">
        <v>0</v>
      </c>
      <c r="Q13" s="332">
        <f t="shared" si="9"/>
        <v>33323.186463333128</v>
      </c>
      <c r="R13" s="332">
        <f t="shared" si="6"/>
        <v>-320.28932498936751</v>
      </c>
      <c r="S13" s="332">
        <f t="shared" si="7"/>
        <v>33002.89713834376</v>
      </c>
      <c r="U13" s="332">
        <f t="shared" si="10"/>
        <v>0</v>
      </c>
      <c r="V13" s="332">
        <f t="shared" si="0"/>
        <v>33002.9</v>
      </c>
      <c r="W13" s="332">
        <f t="shared" si="1"/>
        <v>0</v>
      </c>
      <c r="Y13" s="784">
        <v>454340.22</v>
      </c>
      <c r="Z13" s="333">
        <f t="shared" si="4"/>
        <v>-1513.7300000000396</v>
      </c>
    </row>
    <row r="14" spans="1:26" x14ac:dyDescent="0.2">
      <c r="A14" s="310">
        <v>9</v>
      </c>
      <c r="B14" s="335" t="s">
        <v>226</v>
      </c>
      <c r="C14" s="336" t="s">
        <v>227</v>
      </c>
      <c r="D14" s="327">
        <v>0</v>
      </c>
      <c r="E14" s="327" t="s">
        <v>554</v>
      </c>
      <c r="F14" s="328">
        <f t="shared" si="8"/>
        <v>2.0465192163668475E-2</v>
      </c>
      <c r="G14" s="329">
        <f t="shared" si="5"/>
        <v>2.1478402222600831E-2</v>
      </c>
      <c r="H14" s="330"/>
      <c r="I14" s="331">
        <f>'2801'!$J$107</f>
        <v>5392643.7199999997</v>
      </c>
      <c r="J14" s="331">
        <f>'2801'!$J$109</f>
        <v>5138254.18</v>
      </c>
      <c r="K14" s="331">
        <f>'2801'!$J$114</f>
        <v>-110361.49</v>
      </c>
      <c r="L14" s="331">
        <f>'2801'!$J$116</f>
        <v>5282282.2299999995</v>
      </c>
      <c r="M14" s="332">
        <f>'2801'!$J$124</f>
        <v>441316.79</v>
      </c>
      <c r="N14" s="333"/>
      <c r="O14" s="331" cm="1">
        <f t="array" ref="O14:P14">'2801'!E28:F28</f>
        <v>581.98</v>
      </c>
      <c r="P14" s="309">
        <v>0</v>
      </c>
      <c r="Q14" s="332">
        <f t="shared" si="9"/>
        <v>9266.0292793566787</v>
      </c>
      <c r="R14" s="332">
        <f t="shared" si="6"/>
        <v>-189.63106979621293</v>
      </c>
      <c r="S14" s="332">
        <f t="shared" si="7"/>
        <v>9076.3982095604642</v>
      </c>
      <c r="U14" s="332">
        <f t="shared" si="10"/>
        <v>0</v>
      </c>
      <c r="V14" s="332">
        <f t="shared" si="0"/>
        <v>0</v>
      </c>
      <c r="W14" s="332">
        <f t="shared" si="1"/>
        <v>9076.3982095604642</v>
      </c>
      <c r="Y14" s="784">
        <v>441316.79</v>
      </c>
      <c r="Z14" s="333">
        <f t="shared" si="4"/>
        <v>0</v>
      </c>
    </row>
    <row r="15" spans="1:26" x14ac:dyDescent="0.2">
      <c r="A15" s="310">
        <v>10</v>
      </c>
      <c r="B15" s="335" t="s">
        <v>228</v>
      </c>
      <c r="C15" s="326" t="s">
        <v>229</v>
      </c>
      <c r="D15" s="327" t="s">
        <v>436</v>
      </c>
      <c r="E15" s="327" t="s">
        <v>554</v>
      </c>
      <c r="F15" s="328">
        <f t="shared" si="8"/>
        <v>6.7351885149838737E-3</v>
      </c>
      <c r="G15" s="329">
        <f t="shared" si="5"/>
        <v>7.0761389774326947E-3</v>
      </c>
      <c r="H15" s="330"/>
      <c r="I15" s="331">
        <f>'2911'!$J$107</f>
        <v>6180564.9400000004</v>
      </c>
      <c r="J15" s="331">
        <f>'2911'!$J$109</f>
        <v>5882766.0300000003</v>
      </c>
      <c r="K15" s="331">
        <f>'2911'!$J$114</f>
        <v>-41627.269999999997</v>
      </c>
      <c r="L15" s="331">
        <f>'2911'!$J$116</f>
        <v>6138937.6700000009</v>
      </c>
      <c r="M15" s="332">
        <f>'2911'!$J$124</f>
        <v>511868.9</v>
      </c>
      <c r="N15" s="333"/>
      <c r="O15" s="331" cm="1">
        <f t="array" ref="O15:P15">'2911'!E28:F28</f>
        <v>706.60000000000014</v>
      </c>
      <c r="P15" s="309">
        <v>0</v>
      </c>
      <c r="Q15" s="332">
        <f t="shared" si="9"/>
        <v>8746.9076422303988</v>
      </c>
      <c r="R15" s="332">
        <f t="shared" si="6"/>
        <v>-58.912071893574847</v>
      </c>
      <c r="S15" s="332">
        <f t="shared" si="7"/>
        <v>8687.9955703368232</v>
      </c>
      <c r="U15" s="332">
        <f t="shared" si="10"/>
        <v>8687.9955703368232</v>
      </c>
      <c r="V15" s="332">
        <f t="shared" si="0"/>
        <v>0</v>
      </c>
      <c r="W15" s="332">
        <f t="shared" si="1"/>
        <v>0</v>
      </c>
      <c r="Y15" s="784">
        <v>511868.89</v>
      </c>
      <c r="Z15" s="333">
        <f t="shared" si="4"/>
        <v>-1.0000000009313226E-2</v>
      </c>
    </row>
    <row r="16" spans="1:26" x14ac:dyDescent="0.2">
      <c r="A16" s="310">
        <v>11</v>
      </c>
      <c r="B16" s="335" t="s">
        <v>230</v>
      </c>
      <c r="C16" s="326" t="s">
        <v>231</v>
      </c>
      <c r="D16" s="327">
        <v>0</v>
      </c>
      <c r="E16" s="327">
        <v>1</v>
      </c>
      <c r="F16" s="328">
        <f t="shared" si="8"/>
        <v>7.8846120286563803E-3</v>
      </c>
      <c r="G16" s="329">
        <f t="shared" si="5"/>
        <v>8.2717555158939235E-3</v>
      </c>
      <c r="H16" s="330"/>
      <c r="I16" s="331">
        <f>'2941'!$J$107</f>
        <v>10711142.119999999</v>
      </c>
      <c r="J16" s="331">
        <f>'2941'!$J$109</f>
        <v>10209827.869999999</v>
      </c>
      <c r="K16" s="331">
        <f>'2941'!$J$114</f>
        <v>-84453.2</v>
      </c>
      <c r="L16" s="331">
        <f>'2941'!$J$116</f>
        <v>10626688.92</v>
      </c>
      <c r="M16" s="332">
        <f>'2941'!$J$124</f>
        <v>892467.27</v>
      </c>
      <c r="N16" s="333"/>
      <c r="O16" s="331" cm="1">
        <f t="array" ref="O16:P16">'2941'!E28:F28</f>
        <v>376.88000000000005</v>
      </c>
      <c r="P16" s="309">
        <v>0</v>
      </c>
      <c r="Q16" s="332">
        <f t="shared" si="9"/>
        <v>28420.563893016337</v>
      </c>
      <c r="R16" s="332">
        <f t="shared" si="6"/>
        <v>-224.08511993207384</v>
      </c>
      <c r="S16" s="332">
        <f t="shared" si="7"/>
        <v>28196.478773084265</v>
      </c>
      <c r="U16" s="332">
        <f t="shared" si="10"/>
        <v>0</v>
      </c>
      <c r="V16" s="332">
        <f t="shared" si="0"/>
        <v>28196.48</v>
      </c>
      <c r="W16" s="332">
        <f t="shared" si="1"/>
        <v>0</v>
      </c>
      <c r="Y16" s="784">
        <v>890760.92</v>
      </c>
      <c r="Z16" s="333">
        <f t="shared" si="4"/>
        <v>-1706.3499999999767</v>
      </c>
    </row>
    <row r="17" spans="1:26" x14ac:dyDescent="0.2">
      <c r="A17" s="310">
        <v>12</v>
      </c>
      <c r="B17" s="335" t="s">
        <v>232</v>
      </c>
      <c r="C17" s="336" t="s">
        <v>233</v>
      </c>
      <c r="D17" s="327">
        <v>0</v>
      </c>
      <c r="E17" s="327">
        <v>1</v>
      </c>
      <c r="F17" s="328">
        <f t="shared" si="8"/>
        <v>8.3213262070856303E-3</v>
      </c>
      <c r="G17" s="329">
        <f t="shared" si="5"/>
        <v>8.7641392286130354E-3</v>
      </c>
      <c r="H17" s="330"/>
      <c r="I17" s="331">
        <f>'3083'!$J$107</f>
        <v>6081103.9900000002</v>
      </c>
      <c r="J17" s="331">
        <f>'3083'!$J$109</f>
        <v>5773852.8200000003</v>
      </c>
      <c r="K17" s="331">
        <f>'3083'!$J$114</f>
        <v>-50602.85</v>
      </c>
      <c r="L17" s="331">
        <f>'3083'!$J$116</f>
        <v>6030501.1400000006</v>
      </c>
      <c r="M17" s="332">
        <f>'3083'!$J$124</f>
        <v>505938.1</v>
      </c>
      <c r="N17" s="333"/>
      <c r="O17" s="331" cm="1">
        <f t="array" ref="O17:P17">'3083'!E28:F28</f>
        <v>163.27999999999997</v>
      </c>
      <c r="P17" s="309">
        <v>0</v>
      </c>
      <c r="Q17" s="332">
        <f t="shared" si="9"/>
        <v>37243.410031847139</v>
      </c>
      <c r="R17" s="332">
        <f t="shared" si="6"/>
        <v>-309.91456393924551</v>
      </c>
      <c r="S17" s="332">
        <f t="shared" si="7"/>
        <v>36933.495467907895</v>
      </c>
      <c r="U17" s="332">
        <f t="shared" si="10"/>
        <v>0</v>
      </c>
      <c r="V17" s="332">
        <f t="shared" si="0"/>
        <v>36933.5</v>
      </c>
      <c r="W17" s="332">
        <f t="shared" si="1"/>
        <v>0</v>
      </c>
      <c r="Y17" s="784">
        <v>504744.96000000002</v>
      </c>
      <c r="Z17" s="333">
        <f t="shared" si="4"/>
        <v>-1193.1399999999558</v>
      </c>
    </row>
    <row r="18" spans="1:26" x14ac:dyDescent="0.2">
      <c r="A18" s="310">
        <v>13</v>
      </c>
      <c r="B18" s="335" t="s">
        <v>234</v>
      </c>
      <c r="C18" s="336" t="s">
        <v>235</v>
      </c>
      <c r="D18" s="337">
        <v>0</v>
      </c>
      <c r="E18" s="337">
        <v>1</v>
      </c>
      <c r="F18" s="328">
        <f>-K18/I18</f>
        <v>2.8053141574080523E-2</v>
      </c>
      <c r="G18" s="329">
        <f t="shared" si="5"/>
        <v>2.8861653384100478E-2</v>
      </c>
      <c r="H18" s="330"/>
      <c r="I18" s="331">
        <f>'3345'!$J$107</f>
        <v>1147188.4500000002</v>
      </c>
      <c r="J18" s="331">
        <f>'3345'!$J$109</f>
        <v>1115051.8500000001</v>
      </c>
      <c r="K18" s="331">
        <f>'3345'!$J$114</f>
        <v>-32182.240000000002</v>
      </c>
      <c r="L18" s="331">
        <f>'3345'!$J$116</f>
        <v>1115006.2100000002</v>
      </c>
      <c r="M18" s="332">
        <f>'3345'!$J$124</f>
        <v>93541.68</v>
      </c>
      <c r="N18" s="333"/>
      <c r="O18" s="331" cm="1">
        <f t="array" ref="O18:P18">'3345'!E28:F28</f>
        <v>78.47</v>
      </c>
      <c r="P18" s="309">
        <v>0</v>
      </c>
      <c r="Q18" s="332">
        <f t="shared" si="9"/>
        <v>14619.452657066397</v>
      </c>
      <c r="R18" s="332">
        <f t="shared" si="6"/>
        <v>-410.12157512425131</v>
      </c>
      <c r="S18" s="332">
        <f t="shared" si="7"/>
        <v>14209.331081942146</v>
      </c>
      <c r="U18" s="332">
        <f t="shared" si="10"/>
        <v>0</v>
      </c>
      <c r="V18" s="332">
        <f t="shared" si="0"/>
        <v>14209.33</v>
      </c>
      <c r="W18" s="332">
        <f t="shared" si="1"/>
        <v>0</v>
      </c>
      <c r="Y18" s="784">
        <v>93532.75</v>
      </c>
      <c r="Z18" s="333">
        <f t="shared" si="4"/>
        <v>-8.9299999999930151</v>
      </c>
    </row>
    <row r="19" spans="1:26" x14ac:dyDescent="0.2">
      <c r="A19" s="310">
        <v>14</v>
      </c>
      <c r="B19" s="335">
        <v>3362</v>
      </c>
      <c r="C19" s="336" t="s">
        <v>314</v>
      </c>
      <c r="D19" s="337"/>
      <c r="E19" s="337"/>
      <c r="F19" s="328">
        <f>-K19/I19</f>
        <v>4.9522167113033623E-2</v>
      </c>
      <c r="G19" s="329">
        <f t="shared" ref="G19" si="11">-K19/J19</f>
        <v>5.0000002795086498E-2</v>
      </c>
      <c r="H19" s="330"/>
      <c r="I19" s="331">
        <f>'3362'!$J$107</f>
        <v>1444891.1300000001</v>
      </c>
      <c r="J19" s="331">
        <f>'3362'!$J$109</f>
        <v>1431082.7200000002</v>
      </c>
      <c r="K19" s="331">
        <f>'3362'!$J$114</f>
        <v>-71554.14</v>
      </c>
      <c r="L19" s="331">
        <f>'3362'!$J$116</f>
        <v>1373336.9900000002</v>
      </c>
      <c r="M19" s="332">
        <f>'3362'!$J$124</f>
        <v>152593</v>
      </c>
      <c r="N19" s="333"/>
      <c r="O19" s="331" cm="1">
        <f t="array" ref="O19:P19">'3362'!E28:F28</f>
        <v>165</v>
      </c>
      <c r="P19" s="309">
        <v>0</v>
      </c>
      <c r="Q19" s="332">
        <f t="shared" ref="Q19" si="12">I19/O19</f>
        <v>8756.9159393939408</v>
      </c>
      <c r="R19" s="332">
        <f t="shared" ref="R19" si="13">K19/O19</f>
        <v>-433.66145454545455</v>
      </c>
      <c r="S19" s="332">
        <f t="shared" ref="S19" si="14">L19/O19</f>
        <v>8323.2544848484868</v>
      </c>
      <c r="U19" s="332">
        <f t="shared" ref="U19" si="15">IF(D19="H",S19,0)</f>
        <v>0</v>
      </c>
      <c r="V19" s="332">
        <f t="shared" ref="V19" si="16">ROUND(IF(E19=1,S19,0),2)</f>
        <v>0</v>
      </c>
      <c r="W19" s="332">
        <f t="shared" ref="W19" si="17">IF(AND(U19=0,V19=0),S19,)</f>
        <v>8323.2544848484868</v>
      </c>
      <c r="Y19" s="784">
        <v>152593</v>
      </c>
      <c r="Z19" s="333">
        <f t="shared" si="4"/>
        <v>0</v>
      </c>
    </row>
    <row r="20" spans="1:26" x14ac:dyDescent="0.2">
      <c r="A20" s="310">
        <v>15</v>
      </c>
      <c r="B20" s="335" t="s">
        <v>236</v>
      </c>
      <c r="C20" s="326" t="s">
        <v>237</v>
      </c>
      <c r="D20" s="327" t="s">
        <v>436</v>
      </c>
      <c r="E20" s="327" t="s">
        <v>554</v>
      </c>
      <c r="F20" s="328">
        <f t="shared" si="8"/>
        <v>4.5369923207511887E-3</v>
      </c>
      <c r="G20" s="329">
        <f t="shared" si="5"/>
        <v>4.7656269870840597E-3</v>
      </c>
      <c r="H20" s="330"/>
      <c r="I20" s="331">
        <f>'3381'!$J$107</f>
        <v>9211450.459999999</v>
      </c>
      <c r="J20" s="331">
        <f>'3381'!$J$109</f>
        <v>8769523.9499999993</v>
      </c>
      <c r="K20" s="331">
        <f>'3381'!$J$114</f>
        <v>-41792.28</v>
      </c>
      <c r="L20" s="331">
        <f>'3381'!$J$116</f>
        <v>9169658.1799999997</v>
      </c>
      <c r="M20" s="332">
        <f>'3381'!$J$124</f>
        <v>765891.07</v>
      </c>
      <c r="N20" s="333"/>
      <c r="O20" s="331" cm="1">
        <f t="array" ref="O20:P20">'3381'!E28:F28</f>
        <v>1049.18</v>
      </c>
      <c r="P20" s="309">
        <v>0</v>
      </c>
      <c r="Q20" s="332">
        <f t="shared" si="9"/>
        <v>8779.6664633332675</v>
      </c>
      <c r="R20" s="332">
        <f t="shared" si="6"/>
        <v>-39.833279322899784</v>
      </c>
      <c r="S20" s="332">
        <f t="shared" si="7"/>
        <v>8739.8331840103692</v>
      </c>
      <c r="U20" s="332">
        <f t="shared" si="10"/>
        <v>8739.8331840103692</v>
      </c>
      <c r="V20" s="332">
        <f t="shared" si="0"/>
        <v>0</v>
      </c>
      <c r="W20" s="332">
        <f t="shared" si="1"/>
        <v>0</v>
      </c>
      <c r="Y20" s="784">
        <v>765891.06</v>
      </c>
      <c r="Z20" s="333">
        <f t="shared" si="4"/>
        <v>-9.9999998928979039E-3</v>
      </c>
    </row>
    <row r="21" spans="1:26" x14ac:dyDescent="0.2">
      <c r="A21" s="310">
        <v>16</v>
      </c>
      <c r="B21" s="335" t="s">
        <v>238</v>
      </c>
      <c r="C21" s="326" t="s">
        <v>239</v>
      </c>
      <c r="D21" s="327">
        <v>0</v>
      </c>
      <c r="E21" s="327" t="s">
        <v>554</v>
      </c>
      <c r="F21" s="328">
        <f t="shared" si="8"/>
        <v>4.4631320953147445E-2</v>
      </c>
      <c r="G21" s="329">
        <f t="shared" si="5"/>
        <v>4.6769184713785529E-2</v>
      </c>
      <c r="H21" s="330"/>
      <c r="I21" s="331">
        <f>'3382'!$J$107</f>
        <v>2507032.9</v>
      </c>
      <c r="J21" s="331">
        <f>'3382'!$J$109</f>
        <v>2392434.0499999998</v>
      </c>
      <c r="K21" s="331">
        <f>'3382'!$J$114</f>
        <v>-111892.19</v>
      </c>
      <c r="L21" s="331">
        <f>'3382'!$J$116</f>
        <v>2395140.71</v>
      </c>
      <c r="M21" s="332">
        <f>'3382'!$J$124</f>
        <v>198960.42</v>
      </c>
      <c r="N21" s="333"/>
      <c r="O21" s="331" cm="1">
        <f t="array" ref="O21:P21">'3382'!E28:F28</f>
        <v>267.27000000000004</v>
      </c>
      <c r="P21" s="309">
        <v>0</v>
      </c>
      <c r="Q21" s="332">
        <f t="shared" si="9"/>
        <v>9380.1507838515336</v>
      </c>
      <c r="R21" s="332">
        <f t="shared" si="6"/>
        <v>-418.64852022299544</v>
      </c>
      <c r="S21" s="332">
        <f t="shared" si="7"/>
        <v>8961.5022636285394</v>
      </c>
      <c r="U21" s="332">
        <f t="shared" si="10"/>
        <v>0</v>
      </c>
      <c r="V21" s="332">
        <f t="shared" si="0"/>
        <v>0</v>
      </c>
      <c r="W21" s="332">
        <f t="shared" si="1"/>
        <v>8961.5022636285394</v>
      </c>
      <c r="Y21" s="784">
        <v>198960.42</v>
      </c>
      <c r="Z21" s="333">
        <f t="shared" si="4"/>
        <v>0</v>
      </c>
    </row>
    <row r="22" spans="1:26" x14ac:dyDescent="0.2">
      <c r="A22" s="310">
        <v>17</v>
      </c>
      <c r="B22" s="335" t="s">
        <v>240</v>
      </c>
      <c r="C22" s="338" t="s">
        <v>241</v>
      </c>
      <c r="D22" s="327">
        <v>0</v>
      </c>
      <c r="E22" s="327"/>
      <c r="F22" s="328"/>
      <c r="G22" s="329"/>
      <c r="H22" s="330"/>
      <c r="I22" s="331"/>
      <c r="J22" s="331"/>
      <c r="K22" s="331"/>
      <c r="L22" s="331"/>
      <c r="M22" s="332"/>
      <c r="N22" s="333"/>
      <c r="O22" s="331"/>
      <c r="Q22" s="332"/>
      <c r="R22" s="332"/>
      <c r="S22" s="332"/>
      <c r="U22" s="332"/>
      <c r="V22" s="332"/>
      <c r="W22" s="332"/>
      <c r="Y22" s="784"/>
      <c r="Z22" s="333">
        <f t="shared" si="4"/>
        <v>0</v>
      </c>
    </row>
    <row r="23" spans="1:26" x14ac:dyDescent="0.2">
      <c r="A23" s="310">
        <v>18</v>
      </c>
      <c r="B23" s="335" t="s">
        <v>242</v>
      </c>
      <c r="C23" s="326" t="s">
        <v>243</v>
      </c>
      <c r="D23" s="327">
        <v>0</v>
      </c>
      <c r="E23" s="327" t="s">
        <v>554</v>
      </c>
      <c r="F23" s="328">
        <f t="shared" si="8"/>
        <v>4.7532240941376314E-2</v>
      </c>
      <c r="G23" s="329">
        <f t="shared" si="5"/>
        <v>4.9999998169278789E-2</v>
      </c>
      <c r="H23" s="330"/>
      <c r="I23" s="331">
        <f>'3394'!$J$107</f>
        <v>1723775.6600000004</v>
      </c>
      <c r="J23" s="331">
        <f>'3394'!$J$109</f>
        <v>1638698.4600000004</v>
      </c>
      <c r="K23" s="331">
        <f>'3394'!$J$114</f>
        <v>-81934.92</v>
      </c>
      <c r="L23" s="331">
        <f>'3394'!$J$116</f>
        <v>1641840.7400000005</v>
      </c>
      <c r="M23" s="332">
        <f>'3394'!$J$124</f>
        <v>136608.79999999999</v>
      </c>
      <c r="N23" s="333"/>
      <c r="O23" s="331" cm="1">
        <f t="array" ref="O23:P23">'3394'!E28:F28</f>
        <v>190.99</v>
      </c>
      <c r="P23" s="309">
        <v>0</v>
      </c>
      <c r="Q23" s="332">
        <f t="shared" si="9"/>
        <v>9025.4759935075144</v>
      </c>
      <c r="R23" s="332">
        <f t="shared" si="6"/>
        <v>-429.00109953400698</v>
      </c>
      <c r="S23" s="332">
        <f t="shared" si="7"/>
        <v>8596.4748939735091</v>
      </c>
      <c r="U23" s="332">
        <f t="shared" si="10"/>
        <v>0</v>
      </c>
      <c r="V23" s="332">
        <f t="shared" si="0"/>
        <v>0</v>
      </c>
      <c r="W23" s="332">
        <f t="shared" si="1"/>
        <v>8596.4748939735091</v>
      </c>
      <c r="Y23" s="784">
        <v>136608.79999999999</v>
      </c>
      <c r="Z23" s="333">
        <f t="shared" si="4"/>
        <v>0</v>
      </c>
    </row>
    <row r="24" spans="1:26" x14ac:dyDescent="0.2">
      <c r="A24" s="310">
        <v>19</v>
      </c>
      <c r="B24" s="335" t="s">
        <v>244</v>
      </c>
      <c r="C24" s="336" t="s">
        <v>245</v>
      </c>
      <c r="D24" s="337">
        <v>0</v>
      </c>
      <c r="E24" s="337" t="s">
        <v>554</v>
      </c>
      <c r="F24" s="328">
        <f t="shared" si="8"/>
        <v>2.3175346873276822E-2</v>
      </c>
      <c r="G24" s="329">
        <f t="shared" si="5"/>
        <v>2.4371221852133015E-2</v>
      </c>
      <c r="H24" s="330"/>
      <c r="I24" s="331">
        <f>'3395'!$J$107</f>
        <v>4505788.87</v>
      </c>
      <c r="J24" s="331">
        <f>'3395'!$J$109</f>
        <v>4284693.67</v>
      </c>
      <c r="K24" s="331">
        <f>'3395'!$J$114</f>
        <v>-104423.22</v>
      </c>
      <c r="L24" s="331">
        <f>'3395'!$J$116</f>
        <v>4401365.6500000004</v>
      </c>
      <c r="M24" s="332">
        <f>'3395'!$J$124</f>
        <v>366702.22</v>
      </c>
      <c r="N24" s="333"/>
      <c r="O24" s="331" cm="1">
        <f t="array" ref="O24:P24">'3395'!E28:F28</f>
        <v>512.9</v>
      </c>
      <c r="P24" s="309">
        <v>0</v>
      </c>
      <c r="Q24" s="332">
        <f t="shared" si="9"/>
        <v>8784.9266328719059</v>
      </c>
      <c r="R24" s="332">
        <f t="shared" si="6"/>
        <v>-203.59372197309418</v>
      </c>
      <c r="S24" s="332">
        <f t="shared" si="7"/>
        <v>8581.332910898811</v>
      </c>
      <c r="U24" s="332">
        <f t="shared" si="10"/>
        <v>0</v>
      </c>
      <c r="V24" s="332">
        <f t="shared" si="0"/>
        <v>0</v>
      </c>
      <c r="W24" s="332">
        <f t="shared" si="1"/>
        <v>8581.332910898811</v>
      </c>
      <c r="Y24" s="784">
        <v>366702.21</v>
      </c>
      <c r="Z24" s="333">
        <f t="shared" si="4"/>
        <v>-9.9999999511055648E-3</v>
      </c>
    </row>
    <row r="25" spans="1:26" x14ac:dyDescent="0.2">
      <c r="A25" s="310">
        <v>20</v>
      </c>
      <c r="B25" s="335" t="s">
        <v>246</v>
      </c>
      <c r="C25" s="336" t="s">
        <v>247</v>
      </c>
      <c r="D25" s="337" t="s">
        <v>436</v>
      </c>
      <c r="E25" s="337" t="s">
        <v>554</v>
      </c>
      <c r="F25" s="328">
        <f t="shared" si="8"/>
        <v>6.851094943966054E-3</v>
      </c>
      <c r="G25" s="329">
        <f t="shared" si="5"/>
        <v>7.1729838765614709E-3</v>
      </c>
      <c r="H25" s="330"/>
      <c r="I25" s="331">
        <f>'3396'!$J$107</f>
        <v>6268716.2200000007</v>
      </c>
      <c r="J25" s="331">
        <f>'3396'!$J$109</f>
        <v>5987406.4600000009</v>
      </c>
      <c r="K25" s="331">
        <f>'3396'!$J$114</f>
        <v>-42947.57</v>
      </c>
      <c r="L25" s="331">
        <f>'3396'!$J$116</f>
        <v>6225768.6500000004</v>
      </c>
      <c r="M25" s="332">
        <f>'3396'!$J$124</f>
        <v>524600.61</v>
      </c>
      <c r="N25" s="333"/>
      <c r="O25" s="331" cm="1">
        <f t="array" ref="O25:P25">'3396'!E28:F28</f>
        <v>697.06000000000017</v>
      </c>
      <c r="P25" s="309">
        <v>0</v>
      </c>
      <c r="Q25" s="332">
        <f t="shared" si="9"/>
        <v>8993.0798209623263</v>
      </c>
      <c r="R25" s="332">
        <f t="shared" si="6"/>
        <v>-61.612443692078138</v>
      </c>
      <c r="S25" s="332">
        <f t="shared" si="7"/>
        <v>8931.4673772702481</v>
      </c>
      <c r="U25" s="332">
        <f t="shared" si="10"/>
        <v>8931.4673772702481</v>
      </c>
      <c r="V25" s="332">
        <f t="shared" si="0"/>
        <v>0</v>
      </c>
      <c r="W25" s="332">
        <f t="shared" si="1"/>
        <v>0</v>
      </c>
      <c r="Y25" s="784">
        <v>524600.61</v>
      </c>
      <c r="Z25" s="333">
        <f t="shared" si="4"/>
        <v>0</v>
      </c>
    </row>
    <row r="26" spans="1:26" x14ac:dyDescent="0.2">
      <c r="A26" s="310">
        <v>21</v>
      </c>
      <c r="B26" s="335" t="s">
        <v>248</v>
      </c>
      <c r="C26" s="326" t="s">
        <v>249</v>
      </c>
      <c r="D26" s="327">
        <v>0</v>
      </c>
      <c r="E26" s="327" t="s">
        <v>554</v>
      </c>
      <c r="F26" s="328">
        <f t="shared" si="8"/>
        <v>4.7725556755678321E-2</v>
      </c>
      <c r="G26" s="329">
        <f t="shared" si="5"/>
        <v>5.0000004279660767E-2</v>
      </c>
      <c r="H26" s="330"/>
      <c r="I26" s="331">
        <f>'3398'!$J$107</f>
        <v>979196.12</v>
      </c>
      <c r="J26" s="331">
        <f>'3398'!$J$109</f>
        <v>934653.52</v>
      </c>
      <c r="K26" s="331">
        <f>'3398'!$J$114</f>
        <v>-46732.68</v>
      </c>
      <c r="L26" s="331">
        <f>'3398'!$J$116</f>
        <v>932463.44</v>
      </c>
      <c r="M26" s="332">
        <f>'3398'!$J$124</f>
        <v>78174.02</v>
      </c>
      <c r="N26" s="333"/>
      <c r="O26" s="331" cm="1">
        <f t="array" ref="O26:P26">'3398'!E28:F28</f>
        <v>114.65</v>
      </c>
      <c r="P26" s="309">
        <v>0</v>
      </c>
      <c r="Q26" s="332">
        <f t="shared" si="9"/>
        <v>8540.7424334932402</v>
      </c>
      <c r="R26" s="332">
        <f t="shared" si="6"/>
        <v>-407.61168774531183</v>
      </c>
      <c r="S26" s="332">
        <f t="shared" si="7"/>
        <v>8133.1307457479279</v>
      </c>
      <c r="U26" s="332">
        <f t="shared" si="10"/>
        <v>0</v>
      </c>
      <c r="V26" s="332">
        <f t="shared" si="0"/>
        <v>0</v>
      </c>
      <c r="W26" s="332">
        <f t="shared" si="1"/>
        <v>8133.1307457479279</v>
      </c>
      <c r="Y26" s="784">
        <v>78174.02</v>
      </c>
      <c r="Z26" s="333">
        <f t="shared" si="4"/>
        <v>0</v>
      </c>
    </row>
    <row r="27" spans="1:26" x14ac:dyDescent="0.2">
      <c r="A27" s="310">
        <v>22</v>
      </c>
      <c r="B27" s="335" t="s">
        <v>250</v>
      </c>
      <c r="C27" s="326" t="s">
        <v>251</v>
      </c>
      <c r="D27" s="327">
        <v>0</v>
      </c>
      <c r="E27" s="327">
        <v>1</v>
      </c>
      <c r="F27" s="328">
        <f t="shared" si="8"/>
        <v>3.2559629814936916E-2</v>
      </c>
      <c r="G27" s="329">
        <f t="shared" si="5"/>
        <v>3.358784209699732E-2</v>
      </c>
      <c r="H27" s="330"/>
      <c r="I27" s="331">
        <f>'3400'!$J$107</f>
        <v>1222713.8399999999</v>
      </c>
      <c r="J27" s="331">
        <f>'3400'!$J$109</f>
        <v>1185283.3499999999</v>
      </c>
      <c r="K27" s="331">
        <f>'3400'!$J$114</f>
        <v>-39811.11</v>
      </c>
      <c r="L27" s="331">
        <f>'3400'!$J$116</f>
        <v>1182902.7299999997</v>
      </c>
      <c r="M27" s="332">
        <f>'3400'!$J$124</f>
        <v>100047.91</v>
      </c>
      <c r="N27" s="333"/>
      <c r="O27" s="331" cm="1">
        <f t="array" ref="O27:P27">'3400'!E28:F28</f>
        <v>100.2</v>
      </c>
      <c r="P27" s="309">
        <v>0</v>
      </c>
      <c r="Q27" s="332">
        <f t="shared" si="9"/>
        <v>12202.732934131735</v>
      </c>
      <c r="R27" s="332">
        <f t="shared" si="6"/>
        <v>-397.31646706586827</v>
      </c>
      <c r="S27" s="332">
        <f t="shared" si="7"/>
        <v>11805.416467065865</v>
      </c>
      <c r="U27" s="332">
        <f t="shared" si="10"/>
        <v>0</v>
      </c>
      <c r="V27" s="332">
        <f t="shared" si="0"/>
        <v>11805.42</v>
      </c>
      <c r="W27" s="332">
        <f t="shared" si="1"/>
        <v>0</v>
      </c>
      <c r="Y27" s="784">
        <v>100055.2</v>
      </c>
      <c r="Z27" s="333">
        <f t="shared" si="4"/>
        <v>7.2899999999935972</v>
      </c>
    </row>
    <row r="28" spans="1:26" x14ac:dyDescent="0.2">
      <c r="A28" s="310">
        <v>23</v>
      </c>
      <c r="B28" s="335" t="s">
        <v>252</v>
      </c>
      <c r="C28" s="326" t="s">
        <v>253</v>
      </c>
      <c r="D28" s="327">
        <v>0</v>
      </c>
      <c r="E28" s="327">
        <v>0</v>
      </c>
      <c r="F28" s="328">
        <f t="shared" si="8"/>
        <v>2.7365680137775569E-2</v>
      </c>
      <c r="G28" s="329">
        <f t="shared" si="5"/>
        <v>2.8645415505725264E-2</v>
      </c>
      <c r="H28" s="330"/>
      <c r="I28" s="331">
        <f>'3401'!$J$107</f>
        <v>3757815.6100000003</v>
      </c>
      <c r="J28" s="331">
        <f>'3401'!$J$109</f>
        <v>3589935.0100000002</v>
      </c>
      <c r="K28" s="331">
        <f>'3401'!$J$114</f>
        <v>-102835.18</v>
      </c>
      <c r="L28" s="331">
        <f>'3401'!$J$116</f>
        <v>3654980.43</v>
      </c>
      <c r="M28" s="332">
        <f>'3401'!$J$124</f>
        <v>307696.18</v>
      </c>
      <c r="N28" s="333"/>
      <c r="O28" s="331" cm="1">
        <f t="array" ref="O28:P28">'3401'!E28:F28</f>
        <v>436.37</v>
      </c>
      <c r="P28" s="309">
        <v>0</v>
      </c>
      <c r="Q28" s="332">
        <f t="shared" si="9"/>
        <v>8611.5351880285089</v>
      </c>
      <c r="R28" s="332">
        <f t="shared" si="6"/>
        <v>-235.66051745078715</v>
      </c>
      <c r="S28" s="332">
        <f t="shared" si="7"/>
        <v>8375.8746705777212</v>
      </c>
      <c r="U28" s="332">
        <f t="shared" si="10"/>
        <v>0</v>
      </c>
      <c r="V28" s="332">
        <f t="shared" si="0"/>
        <v>0</v>
      </c>
      <c r="W28" s="332">
        <f t="shared" si="1"/>
        <v>8375.8746705777212</v>
      </c>
      <c r="Y28" s="784">
        <v>307696.18</v>
      </c>
      <c r="Z28" s="333">
        <f t="shared" si="4"/>
        <v>0</v>
      </c>
    </row>
    <row r="29" spans="1:26" x14ac:dyDescent="0.2">
      <c r="A29" s="310">
        <v>24</v>
      </c>
      <c r="B29" s="335" t="s">
        <v>254</v>
      </c>
      <c r="C29" s="326" t="s">
        <v>255</v>
      </c>
      <c r="D29" s="327" t="s">
        <v>436</v>
      </c>
      <c r="E29" s="327" t="s">
        <v>554</v>
      </c>
      <c r="F29" s="328">
        <f t="shared" si="8"/>
        <v>1.219970045519723E-2</v>
      </c>
      <c r="G29" s="329">
        <f t="shared" si="5"/>
        <v>1.2820183604980674E-2</v>
      </c>
      <c r="H29" s="330"/>
      <c r="I29" s="331">
        <f>'3413'!$J$107</f>
        <v>3482978.14</v>
      </c>
      <c r="J29" s="331">
        <f>'3413'!$J$109</f>
        <v>3314405.73</v>
      </c>
      <c r="K29" s="331">
        <f>'3413'!$J$114</f>
        <v>-42491.29</v>
      </c>
      <c r="L29" s="331">
        <f>'3413'!$J$116</f>
        <v>3440486.85</v>
      </c>
      <c r="M29" s="332">
        <f>'3413'!$J$124</f>
        <v>287180.12</v>
      </c>
      <c r="N29" s="333"/>
      <c r="O29" s="331" cm="1">
        <f t="array" ref="O29:P29">'3413'!E28:F28</f>
        <v>390.01</v>
      </c>
      <c r="P29" s="309">
        <v>0</v>
      </c>
      <c r="Q29" s="332">
        <f t="shared" si="9"/>
        <v>8930.4841927130074</v>
      </c>
      <c r="R29" s="332">
        <f t="shared" si="6"/>
        <v>-108.94923207097254</v>
      </c>
      <c r="S29" s="332">
        <f t="shared" si="7"/>
        <v>8821.534960642035</v>
      </c>
      <c r="U29" s="332">
        <f t="shared" si="10"/>
        <v>8821.534960642035</v>
      </c>
      <c r="V29" s="332">
        <f t="shared" si="0"/>
        <v>0</v>
      </c>
      <c r="W29" s="332">
        <f t="shared" si="1"/>
        <v>0</v>
      </c>
      <c r="Y29" s="784">
        <v>287180.12</v>
      </c>
      <c r="Z29" s="333">
        <f t="shared" si="4"/>
        <v>0</v>
      </c>
    </row>
    <row r="30" spans="1:26" x14ac:dyDescent="0.2">
      <c r="A30" s="310">
        <v>25</v>
      </c>
      <c r="B30" s="335" t="s">
        <v>256</v>
      </c>
      <c r="C30" s="326" t="s">
        <v>257</v>
      </c>
      <c r="D30" s="327">
        <v>0</v>
      </c>
      <c r="E30" s="327" t="s">
        <v>554</v>
      </c>
      <c r="F30" s="328">
        <f t="shared" si="8"/>
        <v>2.2767186601897142E-2</v>
      </c>
      <c r="G30" s="329">
        <f t="shared" si="5"/>
        <v>2.3794113844158356E-2</v>
      </c>
      <c r="H30" s="330"/>
      <c r="I30" s="331">
        <f>'3421'!$J$107</f>
        <v>4350611.7699999996</v>
      </c>
      <c r="J30" s="331">
        <f>'3421'!$J$109</f>
        <v>4162844.2499999995</v>
      </c>
      <c r="K30" s="331">
        <f>'3421'!$J$114</f>
        <v>-99051.19</v>
      </c>
      <c r="L30" s="331">
        <f>'3421'!$J$116</f>
        <v>4251560.5799999991</v>
      </c>
      <c r="M30" s="332">
        <f>'3421'!$J$124</f>
        <v>365620.49</v>
      </c>
      <c r="N30" s="333"/>
      <c r="O30" s="331" cm="1">
        <f t="array" ref="O30:P30">'3421'!E28:F28</f>
        <v>525.33999999999992</v>
      </c>
      <c r="P30" s="309">
        <v>0</v>
      </c>
      <c r="Q30" s="332">
        <f t="shared" si="9"/>
        <v>8281.5162942094648</v>
      </c>
      <c r="R30" s="332">
        <f t="shared" si="6"/>
        <v>-188.54682681691861</v>
      </c>
      <c r="S30" s="332">
        <f t="shared" si="7"/>
        <v>8092.9694673925451</v>
      </c>
      <c r="U30" s="332">
        <f t="shared" si="10"/>
        <v>0</v>
      </c>
      <c r="V30" s="332">
        <f t="shared" si="0"/>
        <v>0</v>
      </c>
      <c r="W30" s="332">
        <f t="shared" si="1"/>
        <v>8092.9694673925451</v>
      </c>
      <c r="Y30" s="784">
        <v>365620.49</v>
      </c>
      <c r="Z30" s="333">
        <f t="shared" si="4"/>
        <v>0</v>
      </c>
    </row>
    <row r="31" spans="1:26" x14ac:dyDescent="0.2">
      <c r="A31" s="310">
        <v>26</v>
      </c>
      <c r="B31" s="335" t="s">
        <v>258</v>
      </c>
      <c r="C31" s="326" t="s">
        <v>259</v>
      </c>
      <c r="D31" s="327" t="s">
        <v>436</v>
      </c>
      <c r="E31" s="327" t="s">
        <v>554</v>
      </c>
      <c r="F31" s="328">
        <f t="shared" si="8"/>
        <v>4.7489121328373532E-3</v>
      </c>
      <c r="G31" s="329">
        <f t="shared" si="5"/>
        <v>4.9941071238343978E-3</v>
      </c>
      <c r="H31" s="330"/>
      <c r="I31" s="331">
        <f>'3431'!$J$107</f>
        <v>8774279</v>
      </c>
      <c r="J31" s="331">
        <f>'3431'!$J$109</f>
        <v>8343489.4299999997</v>
      </c>
      <c r="K31" s="331">
        <f>'3431'!$J$114</f>
        <v>-41668.28</v>
      </c>
      <c r="L31" s="331">
        <f>'3431'!$J$116</f>
        <v>8732610.7200000007</v>
      </c>
      <c r="M31" s="332">
        <f>'3431'!$J$124</f>
        <v>725549.97</v>
      </c>
      <c r="N31" s="333"/>
      <c r="O31" s="331" cm="1">
        <f t="array" ref="O31:P31">'3431'!E28:F28</f>
        <v>1001.1800000000001</v>
      </c>
      <c r="P31" s="309">
        <v>0</v>
      </c>
      <c r="Q31" s="332">
        <f t="shared" si="9"/>
        <v>8763.9375536866501</v>
      </c>
      <c r="R31" s="332">
        <f t="shared" si="6"/>
        <v>-41.619169380131439</v>
      </c>
      <c r="S31" s="332">
        <f t="shared" si="7"/>
        <v>8722.3183843065181</v>
      </c>
      <c r="U31" s="332">
        <f t="shared" si="10"/>
        <v>8722.3183843065181</v>
      </c>
      <c r="V31" s="332">
        <f t="shared" si="0"/>
        <v>0</v>
      </c>
      <c r="W31" s="332">
        <f t="shared" si="1"/>
        <v>0</v>
      </c>
      <c r="Y31" s="784">
        <v>725549.97</v>
      </c>
      <c r="Z31" s="333">
        <f t="shared" si="4"/>
        <v>0</v>
      </c>
    </row>
    <row r="32" spans="1:26" x14ac:dyDescent="0.2">
      <c r="A32" s="310">
        <v>27</v>
      </c>
      <c r="B32" s="335">
        <v>3441</v>
      </c>
      <c r="C32" s="336" t="s">
        <v>260</v>
      </c>
      <c r="D32" s="337" t="s">
        <v>436</v>
      </c>
      <c r="E32" s="337" t="s">
        <v>554</v>
      </c>
      <c r="F32" s="328">
        <f t="shared" si="8"/>
        <v>9.0509639809277509E-3</v>
      </c>
      <c r="G32" s="329">
        <f t="shared" si="5"/>
        <v>9.4847868709173541E-3</v>
      </c>
      <c r="H32" s="330"/>
      <c r="I32" s="331">
        <f>'3441'!$J$107</f>
        <v>4650627.28</v>
      </c>
      <c r="J32" s="331">
        <f>'3441'!$J$109</f>
        <v>4437913.1100000003</v>
      </c>
      <c r="K32" s="331">
        <f>'3441'!$J$114</f>
        <v>-42092.66</v>
      </c>
      <c r="L32" s="331">
        <f>'3441'!$J$116</f>
        <v>4608534.62</v>
      </c>
      <c r="M32" s="332">
        <f>'3441'!$J$124</f>
        <v>387823.98</v>
      </c>
      <c r="N32" s="333"/>
      <c r="O32" s="331" cm="1">
        <f t="array" ref="O32:P32">'3441'!E28:F28</f>
        <v>527.16</v>
      </c>
      <c r="P32" s="309">
        <v>0</v>
      </c>
      <c r="Q32" s="332">
        <f t="shared" si="9"/>
        <v>8822.0412777904257</v>
      </c>
      <c r="R32" s="332">
        <f t="shared" si="6"/>
        <v>-79.84797784353897</v>
      </c>
      <c r="S32" s="332">
        <f t="shared" si="7"/>
        <v>8742.1932999468863</v>
      </c>
      <c r="U32" s="332">
        <f t="shared" si="10"/>
        <v>8742.1932999468863</v>
      </c>
      <c r="V32" s="332">
        <f t="shared" si="0"/>
        <v>0</v>
      </c>
      <c r="W32" s="332">
        <f t="shared" si="1"/>
        <v>0</v>
      </c>
      <c r="Y32" s="784">
        <v>387823.98</v>
      </c>
      <c r="Z32" s="333">
        <f t="shared" si="4"/>
        <v>0</v>
      </c>
    </row>
    <row r="33" spans="1:26" x14ac:dyDescent="0.2">
      <c r="A33" s="310">
        <v>28</v>
      </c>
      <c r="B33" s="335">
        <v>3924</v>
      </c>
      <c r="C33" s="336" t="s">
        <v>261</v>
      </c>
      <c r="D33" s="327">
        <v>0</v>
      </c>
      <c r="E33" s="327" t="s">
        <v>554</v>
      </c>
      <c r="F33" s="328">
        <f t="shared" si="8"/>
        <v>2.7426497030122697E-2</v>
      </c>
      <c r="G33" s="329">
        <f t="shared" si="5"/>
        <v>2.8774659459355902E-2</v>
      </c>
      <c r="H33" s="330"/>
      <c r="I33" s="331">
        <f>'3924'!$J$107</f>
        <v>3785270.8600000003</v>
      </c>
      <c r="J33" s="331">
        <f>'3924'!$J$109</f>
        <v>3607921.7600000002</v>
      </c>
      <c r="K33" s="331">
        <f>'3924'!$J$114</f>
        <v>-103816.72</v>
      </c>
      <c r="L33" s="331">
        <f>'3924'!$J$116</f>
        <v>3681454.14</v>
      </c>
      <c r="M33" s="332">
        <f>'3924'!$J$124</f>
        <v>306743.77</v>
      </c>
      <c r="N33" s="333"/>
      <c r="O33" s="331" cm="1">
        <f t="array" ref="O33:P33">'3924'!E28:F28</f>
        <v>434.41</v>
      </c>
      <c r="P33" s="309">
        <v>0</v>
      </c>
      <c r="Q33" s="332">
        <f t="shared" si="9"/>
        <v>8713.5905250799933</v>
      </c>
      <c r="R33" s="332">
        <f t="shared" si="6"/>
        <v>-238.98326465781173</v>
      </c>
      <c r="S33" s="332">
        <f t="shared" si="7"/>
        <v>8474.6072604221808</v>
      </c>
      <c r="U33" s="332">
        <f t="shared" si="10"/>
        <v>0</v>
      </c>
      <c r="V33" s="332">
        <f t="shared" si="0"/>
        <v>0</v>
      </c>
      <c r="W33" s="332">
        <f t="shared" si="1"/>
        <v>8474.6072604221808</v>
      </c>
      <c r="Y33" s="784">
        <v>306743.77</v>
      </c>
      <c r="Z33" s="333">
        <f t="shared" si="4"/>
        <v>0</v>
      </c>
    </row>
    <row r="34" spans="1:26" x14ac:dyDescent="0.2">
      <c r="A34" s="310">
        <v>29</v>
      </c>
      <c r="B34" s="335" t="s">
        <v>262</v>
      </c>
      <c r="C34" s="326" t="s">
        <v>263</v>
      </c>
      <c r="D34" s="327" t="s">
        <v>436</v>
      </c>
      <c r="E34" s="327" t="s">
        <v>554</v>
      </c>
      <c r="F34" s="328">
        <f t="shared" si="8"/>
        <v>1.9034573086567225E-2</v>
      </c>
      <c r="G34" s="329">
        <f t="shared" si="5"/>
        <v>2.0000002546907345E-2</v>
      </c>
      <c r="H34" s="330"/>
      <c r="I34" s="331">
        <f>'3941'!$J$107</f>
        <v>2062736.5700000003</v>
      </c>
      <c r="J34" s="331">
        <f>'3941'!$J$109</f>
        <v>1963165.2500000002</v>
      </c>
      <c r="K34" s="331">
        <f>'3941'!$J$114</f>
        <v>-39263.31</v>
      </c>
      <c r="L34" s="331">
        <f>'3941'!$J$116</f>
        <v>2023473.2600000002</v>
      </c>
      <c r="M34" s="332">
        <f>'3941'!$J$124</f>
        <v>168880.64000000001</v>
      </c>
      <c r="N34" s="333"/>
      <c r="O34" s="331" cm="1">
        <f t="array" ref="O34:P34">'3941'!E28:F28</f>
        <v>229.15</v>
      </c>
      <c r="P34" s="309">
        <v>0</v>
      </c>
      <c r="Q34" s="332">
        <f t="shared" si="9"/>
        <v>9001.6869735980817</v>
      </c>
      <c r="R34" s="332">
        <f t="shared" si="6"/>
        <v>-171.3432686013528</v>
      </c>
      <c r="S34" s="332">
        <f t="shared" si="7"/>
        <v>8830.3437049967288</v>
      </c>
      <c r="U34" s="332">
        <f t="shared" si="10"/>
        <v>8830.3437049967288</v>
      </c>
      <c r="V34" s="332">
        <f t="shared" si="0"/>
        <v>0</v>
      </c>
      <c r="W34" s="332">
        <f t="shared" si="1"/>
        <v>0</v>
      </c>
      <c r="Y34" s="784">
        <v>168880.64000000001</v>
      </c>
      <c r="Z34" s="333">
        <f>Y34-M34</f>
        <v>0</v>
      </c>
    </row>
    <row r="35" spans="1:26" x14ac:dyDescent="0.2">
      <c r="A35" s="310">
        <v>30</v>
      </c>
      <c r="B35" s="335" t="s">
        <v>264</v>
      </c>
      <c r="C35" s="338" t="s">
        <v>265</v>
      </c>
      <c r="D35" s="327">
        <v>0</v>
      </c>
      <c r="E35" s="327" t="s">
        <v>554</v>
      </c>
      <c r="F35" s="328"/>
      <c r="G35" s="329"/>
      <c r="H35" s="330"/>
      <c r="I35" s="331"/>
      <c r="J35" s="331"/>
      <c r="K35" s="331"/>
      <c r="L35" s="331"/>
      <c r="M35" s="332"/>
      <c r="N35" s="333"/>
      <c r="O35" s="331"/>
      <c r="Q35" s="332"/>
      <c r="R35" s="332"/>
      <c r="S35" s="332"/>
      <c r="U35" s="332"/>
      <c r="V35" s="332"/>
      <c r="W35" s="332"/>
      <c r="Y35" s="784"/>
      <c r="Z35" s="333">
        <f t="shared" si="4"/>
        <v>0</v>
      </c>
    </row>
    <row r="36" spans="1:26" x14ac:dyDescent="0.2">
      <c r="A36" s="310">
        <v>31</v>
      </c>
      <c r="B36" s="335" t="s">
        <v>266</v>
      </c>
      <c r="C36" s="326" t="s">
        <v>267</v>
      </c>
      <c r="D36" s="327">
        <v>0</v>
      </c>
      <c r="E36" s="327" t="s">
        <v>554</v>
      </c>
      <c r="F36" s="328">
        <f t="shared" si="8"/>
        <v>1.7562878194906956E-2</v>
      </c>
      <c r="G36" s="329">
        <f t="shared" si="5"/>
        <v>1.8390196627913153E-2</v>
      </c>
      <c r="H36" s="330"/>
      <c r="I36" s="331">
        <f>'3971'!$J$107</f>
        <v>5581873.8200000003</v>
      </c>
      <c r="J36" s="331">
        <f>'3971'!$J$109</f>
        <v>5330762.4700000007</v>
      </c>
      <c r="K36" s="331">
        <f>'3971'!$J$114</f>
        <v>-98033.77</v>
      </c>
      <c r="L36" s="331">
        <f>'3971'!$J$116</f>
        <v>5483840.0500000007</v>
      </c>
      <c r="M36" s="332">
        <f>'3971'!$J$124</f>
        <v>468192.65</v>
      </c>
      <c r="N36" s="333"/>
      <c r="O36" s="331" cm="1">
        <f t="array" ref="O36:P36">'3971'!E28:F28</f>
        <v>679.71</v>
      </c>
      <c r="P36" s="309">
        <v>0</v>
      </c>
      <c r="Q36" s="332">
        <f t="shared" si="9"/>
        <v>8212.1402068529223</v>
      </c>
      <c r="R36" s="332">
        <f t="shared" si="6"/>
        <v>-144.2288181724559</v>
      </c>
      <c r="S36" s="332">
        <f t="shared" si="7"/>
        <v>8067.9113886804671</v>
      </c>
      <c r="U36" s="332">
        <f t="shared" si="10"/>
        <v>0</v>
      </c>
      <c r="V36" s="332">
        <f t="shared" si="0"/>
        <v>0</v>
      </c>
      <c r="W36" s="332">
        <f t="shared" si="1"/>
        <v>8067.9113886804671</v>
      </c>
      <c r="Y36" s="784">
        <v>468192.65</v>
      </c>
      <c r="Z36" s="333">
        <f t="shared" si="4"/>
        <v>0</v>
      </c>
    </row>
    <row r="37" spans="1:26" x14ac:dyDescent="0.2">
      <c r="A37" s="310">
        <v>32</v>
      </c>
      <c r="B37" s="335" t="s">
        <v>268</v>
      </c>
      <c r="C37" s="326" t="s">
        <v>269</v>
      </c>
      <c r="D37" s="327">
        <v>0</v>
      </c>
      <c r="E37" s="327" t="s">
        <v>554</v>
      </c>
      <c r="F37" s="328">
        <f t="shared" si="8"/>
        <v>1.7480009245735638E-2</v>
      </c>
      <c r="G37" s="329">
        <f t="shared" si="5"/>
        <v>1.8366957429302787E-2</v>
      </c>
      <c r="H37" s="330"/>
      <c r="I37" s="331">
        <f>'4001'!$J$107</f>
        <v>6014491.6700000009</v>
      </c>
      <c r="J37" s="331">
        <f>'4001'!$J$109</f>
        <v>5724049.3100000005</v>
      </c>
      <c r="K37" s="331">
        <f>'4001'!$J$114</f>
        <v>-105133.37</v>
      </c>
      <c r="L37" s="331">
        <f>'4001'!$J$116</f>
        <v>5909358.3000000007</v>
      </c>
      <c r="M37" s="332">
        <f>'4001'!$J$124</f>
        <v>492923.41</v>
      </c>
      <c r="N37" s="333"/>
      <c r="O37" s="331" cm="1">
        <f t="array" ref="O37:P37">'4001'!E28:F28</f>
        <v>680.56999999999994</v>
      </c>
      <c r="P37" s="309">
        <v>0</v>
      </c>
      <c r="Q37" s="332">
        <f t="shared" si="9"/>
        <v>8837.4328430580263</v>
      </c>
      <c r="R37" s="332">
        <f t="shared" si="6"/>
        <v>-154.4784078052221</v>
      </c>
      <c r="S37" s="332">
        <f t="shared" si="7"/>
        <v>8682.9544352528046</v>
      </c>
      <c r="U37" s="332">
        <f t="shared" si="10"/>
        <v>0</v>
      </c>
      <c r="V37" s="332">
        <f t="shared" si="0"/>
        <v>0</v>
      </c>
      <c r="W37" s="332">
        <f t="shared" si="1"/>
        <v>8682.9544352528046</v>
      </c>
      <c r="Y37" s="784">
        <v>492923.41</v>
      </c>
      <c r="Z37" s="333">
        <f t="shared" si="4"/>
        <v>0</v>
      </c>
    </row>
    <row r="38" spans="1:26" x14ac:dyDescent="0.2">
      <c r="A38" s="310">
        <v>33</v>
      </c>
      <c r="B38" s="335">
        <v>4002</v>
      </c>
      <c r="C38" s="326" t="s">
        <v>270</v>
      </c>
      <c r="D38" s="327">
        <v>0</v>
      </c>
      <c r="E38" s="327" t="s">
        <v>554</v>
      </c>
      <c r="F38" s="328">
        <f t="shared" si="8"/>
        <v>1.2149422006071999E-2</v>
      </c>
      <c r="G38" s="329">
        <f t="shared" si="5"/>
        <v>1.2779487652523985E-2</v>
      </c>
      <c r="H38" s="330"/>
      <c r="I38" s="331">
        <f>'4002'!$J$107</f>
        <v>8623130.3800000008</v>
      </c>
      <c r="J38" s="331">
        <f>'4002'!$J$109</f>
        <v>8197985.1500000004</v>
      </c>
      <c r="K38" s="331">
        <f>'4002'!$J$114</f>
        <v>-104766.05</v>
      </c>
      <c r="L38" s="331">
        <f>'4002'!$J$116</f>
        <v>8518364.3300000001</v>
      </c>
      <c r="M38" s="332">
        <f>'4002'!$J$124</f>
        <v>708965.29</v>
      </c>
      <c r="N38" s="333"/>
      <c r="O38" s="331" cm="1">
        <f t="array" ref="O38:P38">'4002'!E28:F28</f>
        <v>978.13</v>
      </c>
      <c r="P38" s="309">
        <v>0</v>
      </c>
      <c r="Q38" s="332">
        <f t="shared" si="9"/>
        <v>8815.9348757322659</v>
      </c>
      <c r="R38" s="332">
        <f t="shared" si="6"/>
        <v>-107.10851318331919</v>
      </c>
      <c r="S38" s="332">
        <f t="shared" si="7"/>
        <v>8708.8263625489453</v>
      </c>
      <c r="U38" s="332">
        <f t="shared" si="10"/>
        <v>0</v>
      </c>
      <c r="V38" s="332">
        <f t="shared" si="0"/>
        <v>0</v>
      </c>
      <c r="W38" s="332">
        <f t="shared" si="1"/>
        <v>8708.8263625489453</v>
      </c>
      <c r="Y38" s="784">
        <v>708965.29</v>
      </c>
      <c r="Z38" s="333">
        <f t="shared" si="4"/>
        <v>0</v>
      </c>
    </row>
    <row r="39" spans="1:26" x14ac:dyDescent="0.2">
      <c r="A39" s="310">
        <v>34</v>
      </c>
      <c r="B39" s="335">
        <v>4012</v>
      </c>
      <c r="C39" s="326" t="s">
        <v>271</v>
      </c>
      <c r="D39" s="327" t="s">
        <v>436</v>
      </c>
      <c r="E39" s="327" t="s">
        <v>554</v>
      </c>
      <c r="F39" s="328">
        <f t="shared" si="8"/>
        <v>7.9986037021651541E-3</v>
      </c>
      <c r="G39" s="329">
        <f t="shared" si="5"/>
        <v>8.4002557329941989E-3</v>
      </c>
      <c r="H39" s="330"/>
      <c r="I39" s="331">
        <f>'4012'!$J$107</f>
        <v>5016465.5600000005</v>
      </c>
      <c r="J39" s="331">
        <f>'4012'!$J$109</f>
        <v>4776606.9600000009</v>
      </c>
      <c r="K39" s="331">
        <f>'4012'!$J$114</f>
        <v>-40124.720000000001</v>
      </c>
      <c r="L39" s="331">
        <f>'4012'!$J$116</f>
        <v>4976340.8400000008</v>
      </c>
      <c r="M39" s="332">
        <f>'4012'!$J$124</f>
        <v>416469.55</v>
      </c>
      <c r="N39" s="333"/>
      <c r="O39" s="331" cm="1">
        <f t="array" ref="O39:P39">'4012'!E28:F28</f>
        <v>595.22</v>
      </c>
      <c r="P39" s="309">
        <v>0</v>
      </c>
      <c r="Q39" s="332">
        <f t="shared" si="9"/>
        <v>8427.9183495178258</v>
      </c>
      <c r="R39" s="332">
        <f t="shared" si="6"/>
        <v>-67.41157891199893</v>
      </c>
      <c r="S39" s="332">
        <f t="shared" si="7"/>
        <v>8360.5067706058271</v>
      </c>
      <c r="U39" s="332">
        <f t="shared" si="10"/>
        <v>8360.5067706058271</v>
      </c>
      <c r="V39" s="332">
        <f t="shared" si="0"/>
        <v>0</v>
      </c>
      <c r="W39" s="332">
        <f t="shared" si="1"/>
        <v>0</v>
      </c>
      <c r="Y39" s="784">
        <v>416469.55</v>
      </c>
      <c r="Z39" s="333">
        <f t="shared" si="4"/>
        <v>0</v>
      </c>
    </row>
    <row r="40" spans="1:26" x14ac:dyDescent="0.2">
      <c r="A40" s="310">
        <v>35</v>
      </c>
      <c r="B40" s="335">
        <v>4013</v>
      </c>
      <c r="C40" s="326" t="s">
        <v>272</v>
      </c>
      <c r="D40" s="327" t="s">
        <v>436</v>
      </c>
      <c r="E40" s="327" t="s">
        <v>554</v>
      </c>
      <c r="F40" s="328">
        <f t="shared" si="8"/>
        <v>4.7270071547367192E-3</v>
      </c>
      <c r="G40" s="329">
        <f t="shared" si="5"/>
        <v>4.9408582177259451E-3</v>
      </c>
      <c r="H40" s="330"/>
      <c r="I40" s="331">
        <f>'4013'!$J$107</f>
        <v>9263540.0299999993</v>
      </c>
      <c r="J40" s="331">
        <f>'4013'!$J$109</f>
        <v>8862593.9199999999</v>
      </c>
      <c r="K40" s="331">
        <f>'4013'!$J$114</f>
        <v>-43788.82</v>
      </c>
      <c r="L40" s="331">
        <f>'4013'!$J$116</f>
        <v>9219751.209999999</v>
      </c>
      <c r="M40" s="332">
        <f>'4013'!$J$124</f>
        <v>786596.81</v>
      </c>
      <c r="N40" s="333"/>
      <c r="O40" s="331" cm="1">
        <f t="array" ref="O40:P40">'4013'!E28:F28</f>
        <v>1011.9700000000001</v>
      </c>
      <c r="P40" s="309">
        <v>0</v>
      </c>
      <c r="Q40" s="332">
        <f t="shared" si="9"/>
        <v>9153.967044477602</v>
      </c>
      <c r="R40" s="332">
        <f t="shared" si="6"/>
        <v>-43.270867713469762</v>
      </c>
      <c r="S40" s="332">
        <f t="shared" si="7"/>
        <v>9110.6961767641315</v>
      </c>
      <c r="U40" s="332">
        <f t="shared" si="10"/>
        <v>9110.6961767641315</v>
      </c>
      <c r="V40" s="332">
        <f t="shared" si="0"/>
        <v>0</v>
      </c>
      <c r="W40" s="332">
        <f t="shared" si="1"/>
        <v>0</v>
      </c>
      <c r="Y40" s="784">
        <v>786596.81</v>
      </c>
      <c r="Z40" s="333">
        <f t="shared" si="4"/>
        <v>0</v>
      </c>
    </row>
    <row r="41" spans="1:26" x14ac:dyDescent="0.2">
      <c r="A41" s="310">
        <v>36</v>
      </c>
      <c r="B41" s="335">
        <v>4020</v>
      </c>
      <c r="C41" s="336" t="s">
        <v>273</v>
      </c>
      <c r="D41" s="327">
        <v>0</v>
      </c>
      <c r="E41" s="327" t="s">
        <v>554</v>
      </c>
      <c r="F41" s="328">
        <f t="shared" si="8"/>
        <v>9.6160607524655526E-3</v>
      </c>
      <c r="G41" s="329">
        <f t="shared" si="5"/>
        <v>1.0104194438735286E-2</v>
      </c>
      <c r="H41" s="330"/>
      <c r="I41" s="331">
        <f>'4020'!$J$107</f>
        <v>10909115.769999998</v>
      </c>
      <c r="J41" s="331">
        <f>'4020'!$J$109</f>
        <v>10382096.329999998</v>
      </c>
      <c r="K41" s="331">
        <f>'4020'!$J$114</f>
        <v>-104902.72</v>
      </c>
      <c r="L41" s="331">
        <f>'4020'!$J$116</f>
        <v>10804213.049999997</v>
      </c>
      <c r="M41" s="332">
        <f>'4020'!$J$124</f>
        <v>899763.33</v>
      </c>
      <c r="N41" s="333"/>
      <c r="O41" s="331" cm="1">
        <f t="array" ref="O41:P41">'4020'!E28:F28</f>
        <v>1237.1099999999999</v>
      </c>
      <c r="P41" s="309">
        <v>0</v>
      </c>
      <c r="Q41" s="332">
        <f t="shared" si="9"/>
        <v>8818.2261642052836</v>
      </c>
      <c r="R41" s="332">
        <f t="shared" si="6"/>
        <v>-84.796598523979284</v>
      </c>
      <c r="S41" s="332">
        <f t="shared" si="7"/>
        <v>8733.4295656813047</v>
      </c>
      <c r="U41" s="332">
        <f t="shared" si="10"/>
        <v>0</v>
      </c>
      <c r="V41" s="332">
        <f t="shared" si="0"/>
        <v>0</v>
      </c>
      <c r="W41" s="332">
        <f t="shared" si="1"/>
        <v>8733.4295656813047</v>
      </c>
      <c r="Y41" s="784">
        <v>899763.33</v>
      </c>
      <c r="Z41" s="333">
        <f t="shared" si="4"/>
        <v>0</v>
      </c>
    </row>
    <row r="42" spans="1:26" x14ac:dyDescent="0.2">
      <c r="A42" s="310">
        <v>37</v>
      </c>
      <c r="B42" s="335">
        <v>4030</v>
      </c>
      <c r="C42" s="336" t="s">
        <v>274</v>
      </c>
      <c r="D42" s="327">
        <v>0</v>
      </c>
      <c r="E42" s="327" t="s">
        <v>554</v>
      </c>
      <c r="F42" s="328">
        <f t="shared" si="8"/>
        <v>3.9083819595662359E-2</v>
      </c>
      <c r="G42" s="329">
        <f t="shared" si="5"/>
        <v>4.112924370185881E-2</v>
      </c>
      <c r="H42" s="330"/>
      <c r="I42" s="331">
        <f>'4030'!$J$107</f>
        <v>2717266.1499999994</v>
      </c>
      <c r="J42" s="331">
        <f>'4030'!$J$109</f>
        <v>2582132.0899999994</v>
      </c>
      <c r="K42" s="331">
        <f>'4030'!$J$114</f>
        <v>-106201.14</v>
      </c>
      <c r="L42" s="331">
        <f>'4030'!$J$116</f>
        <v>2611065.0099999993</v>
      </c>
      <c r="M42" s="332">
        <f>'4030'!$J$124</f>
        <v>217485.59</v>
      </c>
      <c r="N42" s="333"/>
      <c r="O42" s="331" cm="1">
        <f t="array" ref="O42:P42">'4030'!E28:F28</f>
        <v>303.92</v>
      </c>
      <c r="P42" s="309">
        <v>0</v>
      </c>
      <c r="Q42" s="332">
        <f t="shared" si="9"/>
        <v>8940.7283166622765</v>
      </c>
      <c r="R42" s="332">
        <f>K42/O42</f>
        <v>-349.43781258225846</v>
      </c>
      <c r="S42" s="332">
        <f>L42/O42</f>
        <v>8591.2905040800179</v>
      </c>
      <c r="U42" s="332">
        <f t="shared" si="10"/>
        <v>0</v>
      </c>
      <c r="V42" s="332">
        <f t="shared" si="0"/>
        <v>0</v>
      </c>
      <c r="W42" s="332">
        <f>IF(AND(U42=0,V42=0),S42,)</f>
        <v>8591.2905040800179</v>
      </c>
      <c r="Y42" s="784">
        <v>217485.59</v>
      </c>
      <c r="Z42" s="333">
        <f t="shared" si="4"/>
        <v>0</v>
      </c>
    </row>
    <row r="43" spans="1:26" x14ac:dyDescent="0.2">
      <c r="A43" s="310">
        <v>38</v>
      </c>
      <c r="B43" s="335">
        <v>4031</v>
      </c>
      <c r="C43" s="336" t="s">
        <v>275</v>
      </c>
      <c r="D43" s="327">
        <v>0</v>
      </c>
      <c r="E43" s="327" t="s">
        <v>554</v>
      </c>
      <c r="F43" s="328">
        <f t="shared" si="8"/>
        <v>2.6289051452332263E-2</v>
      </c>
      <c r="G43" s="329">
        <f t="shared" si="5"/>
        <v>2.7657314587818428E-2</v>
      </c>
      <c r="H43" s="330"/>
      <c r="I43" s="331">
        <f>'4031'!$J$107</f>
        <v>3959687.56</v>
      </c>
      <c r="J43" s="331">
        <f>'4031'!$J$109</f>
        <v>3763793.83</v>
      </c>
      <c r="K43" s="331">
        <f>'4031'!$J$114</f>
        <v>-104096.43</v>
      </c>
      <c r="L43" s="331">
        <f>'4031'!$J$116</f>
        <v>3855591.13</v>
      </c>
      <c r="M43" s="332">
        <f>'4031'!$J$124</f>
        <v>319995.15999999997</v>
      </c>
      <c r="N43" s="333"/>
      <c r="O43" s="331" cm="1">
        <f t="array" ref="O43:P43">'4031'!E28:F28</f>
        <v>451.96000000000004</v>
      </c>
      <c r="P43" s="309">
        <v>0</v>
      </c>
      <c r="Q43" s="332">
        <f t="shared" si="9"/>
        <v>8761.1460306221779</v>
      </c>
      <c r="R43" s="332">
        <f>K43/O43</f>
        <v>-230.32221878042301</v>
      </c>
      <c r="S43" s="332">
        <f>L43/O43</f>
        <v>8530.8238118417557</v>
      </c>
      <c r="U43" s="332">
        <f t="shared" si="10"/>
        <v>0</v>
      </c>
      <c r="V43" s="332">
        <f t="shared" si="0"/>
        <v>0</v>
      </c>
      <c r="W43" s="332">
        <f>IF(AND(U43=0,V43=0),S43,)</f>
        <v>8530.8238118417557</v>
      </c>
      <c r="Y43" s="784">
        <v>319995.15999999997</v>
      </c>
      <c r="Z43" s="333">
        <f t="shared" si="4"/>
        <v>0</v>
      </c>
    </row>
    <row r="44" spans="1:26" x14ac:dyDescent="0.2">
      <c r="A44" s="310">
        <v>39</v>
      </c>
      <c r="B44" s="339">
        <v>4041</v>
      </c>
      <c r="C44" s="340" t="s">
        <v>276</v>
      </c>
      <c r="D44" s="341" t="s">
        <v>436</v>
      </c>
      <c r="E44" s="341" t="s">
        <v>554</v>
      </c>
      <c r="F44" s="328">
        <f t="shared" si="8"/>
        <v>1.9034467721346291E-2</v>
      </c>
      <c r="G44" s="329">
        <f t="shared" si="5"/>
        <v>1.9999997072366223E-2</v>
      </c>
      <c r="H44" s="330"/>
      <c r="I44" s="331">
        <f>'4041'!$J$107</f>
        <v>789578.16000000015</v>
      </c>
      <c r="J44" s="331">
        <f>'4041'!$J$109</f>
        <v>751460.1100000001</v>
      </c>
      <c r="K44" s="331">
        <f>'4041'!$J$114</f>
        <v>-15029.2</v>
      </c>
      <c r="L44" s="331">
        <f>'4041'!$J$116</f>
        <v>774548.9600000002</v>
      </c>
      <c r="M44" s="332">
        <f>'4041'!$J$124</f>
        <v>64613.31</v>
      </c>
      <c r="N44" s="333"/>
      <c r="O44" s="331" cm="1">
        <f t="array" ref="O44:P44">'4041'!E28:F28</f>
        <v>94.46</v>
      </c>
      <c r="P44" s="309">
        <v>0</v>
      </c>
      <c r="Q44" s="332">
        <f t="shared" si="9"/>
        <v>8358.862587338559</v>
      </c>
      <c r="R44" s="332">
        <f t="shared" si="6"/>
        <v>-159.10650010586494</v>
      </c>
      <c r="S44" s="332">
        <f t="shared" si="7"/>
        <v>8199.756087232694</v>
      </c>
      <c r="U44" s="332">
        <f t="shared" si="10"/>
        <v>8199.756087232694</v>
      </c>
      <c r="V44" s="332">
        <f t="shared" si="0"/>
        <v>0</v>
      </c>
      <c r="W44" s="332">
        <f t="shared" si="1"/>
        <v>0</v>
      </c>
      <c r="Y44" s="784">
        <v>64613.31</v>
      </c>
      <c r="Z44" s="333">
        <f t="shared" si="4"/>
        <v>0</v>
      </c>
    </row>
    <row r="45" spans="1:26" x14ac:dyDescent="0.2">
      <c r="A45" s="310">
        <v>40</v>
      </c>
      <c r="B45" s="342">
        <v>4050</v>
      </c>
      <c r="C45" s="343" t="s">
        <v>277</v>
      </c>
      <c r="D45" s="344">
        <v>0</v>
      </c>
      <c r="E45" s="344" t="s">
        <v>554</v>
      </c>
      <c r="F45" s="328">
        <f t="shared" si="8"/>
        <v>1.6529704780055991E-2</v>
      </c>
      <c r="G45" s="329">
        <f t="shared" si="5"/>
        <v>1.7391062004681785E-2</v>
      </c>
      <c r="H45" s="330"/>
      <c r="I45" s="331">
        <f>'4050'!$J$107</f>
        <v>6256152.8700000001</v>
      </c>
      <c r="J45" s="331">
        <f>'4050'!$J$109</f>
        <v>5946293.5600000005</v>
      </c>
      <c r="K45" s="331">
        <f>'4050'!$J$114</f>
        <v>-103412.36</v>
      </c>
      <c r="L45" s="331">
        <f>'4050'!$J$116</f>
        <v>6152740.5099999998</v>
      </c>
      <c r="M45" s="332">
        <f>'4050'!$J$124</f>
        <v>511250.04</v>
      </c>
      <c r="N45" s="333"/>
      <c r="O45" s="331" cm="1">
        <f t="array" ref="O45:P45">'4050'!E28:F28</f>
        <v>718.76</v>
      </c>
      <c r="P45" s="309">
        <v>0</v>
      </c>
      <c r="Q45" s="332">
        <f t="shared" si="9"/>
        <v>8704.0915882909467</v>
      </c>
      <c r="R45" s="332">
        <f t="shared" si="6"/>
        <v>-143.87606433301798</v>
      </c>
      <c r="S45" s="332">
        <f t="shared" si="7"/>
        <v>8560.2155239579279</v>
      </c>
      <c r="U45" s="332">
        <f t="shared" si="10"/>
        <v>0</v>
      </c>
      <c r="V45" s="332">
        <f t="shared" si="0"/>
        <v>0</v>
      </c>
      <c r="W45" s="332">
        <f t="shared" si="1"/>
        <v>8560.2155239579279</v>
      </c>
      <c r="Y45" s="784">
        <v>511250.04</v>
      </c>
      <c r="Z45" s="333">
        <f t="shared" si="4"/>
        <v>0</v>
      </c>
    </row>
    <row r="46" spans="1:26" x14ac:dyDescent="0.2">
      <c r="A46" s="310">
        <v>41</v>
      </c>
      <c r="B46" s="342">
        <v>4051</v>
      </c>
      <c r="C46" s="343" t="s">
        <v>278</v>
      </c>
      <c r="D46" s="344">
        <v>0</v>
      </c>
      <c r="E46" s="344" t="s">
        <v>554</v>
      </c>
      <c r="F46" s="328">
        <f t="shared" si="8"/>
        <v>1.5851173494128616E-2</v>
      </c>
      <c r="G46" s="329">
        <f t="shared" si="5"/>
        <v>1.6683573033007198E-2</v>
      </c>
      <c r="H46" s="330"/>
      <c r="I46" s="331">
        <f>'4051'!$J$107</f>
        <v>6546077.4900000012</v>
      </c>
      <c r="J46" s="331">
        <f>'4051'!$J$109</f>
        <v>6219471.6800000016</v>
      </c>
      <c r="K46" s="331">
        <f>'4051'!$J$114</f>
        <v>-103763.01</v>
      </c>
      <c r="L46" s="331">
        <f>'4051'!$J$116</f>
        <v>6442314.4800000014</v>
      </c>
      <c r="M46" s="332">
        <f>'4051'!$J$124</f>
        <v>533809.19999999995</v>
      </c>
      <c r="N46" s="333"/>
      <c r="O46" s="331" cm="1">
        <f t="array" ref="O46:P46">'4051'!E28:F28</f>
        <v>749.24000000000012</v>
      </c>
      <c r="P46" s="309">
        <v>0</v>
      </c>
      <c r="Q46" s="332">
        <f t="shared" si="9"/>
        <v>8736.9567695264541</v>
      </c>
      <c r="R46" s="332">
        <f t="shared" si="6"/>
        <v>-138.4910175644653</v>
      </c>
      <c r="S46" s="332">
        <f t="shared" si="7"/>
        <v>8598.4657519619886</v>
      </c>
      <c r="U46" s="332">
        <f t="shared" si="10"/>
        <v>0</v>
      </c>
      <c r="V46" s="332">
        <f t="shared" si="0"/>
        <v>0</v>
      </c>
      <c r="W46" s="332">
        <f t="shared" si="1"/>
        <v>8598.4657519619886</v>
      </c>
      <c r="Y46" s="784">
        <v>533809.19999999995</v>
      </c>
      <c r="Z46" s="333">
        <f t="shared" si="4"/>
        <v>0</v>
      </c>
    </row>
    <row r="47" spans="1:26" x14ac:dyDescent="0.2">
      <c r="A47" s="310">
        <v>42</v>
      </c>
      <c r="B47" s="342">
        <v>4061</v>
      </c>
      <c r="C47" s="345" t="s">
        <v>279</v>
      </c>
      <c r="D47" s="344">
        <v>0</v>
      </c>
      <c r="E47" s="344" t="s">
        <v>554</v>
      </c>
      <c r="F47" s="328">
        <f t="shared" si="8"/>
        <v>1.2361786930433296E-2</v>
      </c>
      <c r="G47" s="329">
        <f t="shared" si="5"/>
        <v>1.2985259003517139E-2</v>
      </c>
      <c r="H47" s="330"/>
      <c r="I47" s="331">
        <f>'4061'!$J$107</f>
        <v>8465831.0800000001</v>
      </c>
      <c r="J47" s="331">
        <f>'4061'!$J$109</f>
        <v>8059354.0700000003</v>
      </c>
      <c r="K47" s="331">
        <f>'4061'!$J$114</f>
        <v>-104652.8</v>
      </c>
      <c r="L47" s="331">
        <f>'4061'!$J$116</f>
        <v>8361178.2800000003</v>
      </c>
      <c r="M47" s="332">
        <f>'4061'!$J$124</f>
        <v>697798.89</v>
      </c>
      <c r="N47" s="333"/>
      <c r="O47" s="331" cm="1">
        <f t="array" ref="O47:P47">'4061'!E28:F28</f>
        <v>962.63</v>
      </c>
      <c r="P47" s="309">
        <v>0</v>
      </c>
      <c r="Q47" s="332">
        <f t="shared" si="9"/>
        <v>8794.4808285634153</v>
      </c>
      <c r="R47" s="332">
        <f t="shared" si="6"/>
        <v>-108.71549816648141</v>
      </c>
      <c r="S47" s="332">
        <f t="shared" si="7"/>
        <v>8685.7653303969346</v>
      </c>
      <c r="U47" s="332">
        <f t="shared" si="10"/>
        <v>0</v>
      </c>
      <c r="V47" s="332">
        <f t="shared" si="0"/>
        <v>0</v>
      </c>
      <c r="W47" s="332">
        <f t="shared" si="1"/>
        <v>8685.7653303969346</v>
      </c>
      <c r="Y47" s="784">
        <v>697798.89</v>
      </c>
      <c r="Z47" s="333">
        <f t="shared" si="4"/>
        <v>0</v>
      </c>
    </row>
    <row r="48" spans="1:26" x14ac:dyDescent="0.2">
      <c r="A48" s="310">
        <v>43</v>
      </c>
      <c r="B48" s="342">
        <v>4080</v>
      </c>
      <c r="C48" s="346" t="s">
        <v>280</v>
      </c>
      <c r="D48" s="341">
        <v>0</v>
      </c>
      <c r="E48" s="341" t="s">
        <v>554</v>
      </c>
      <c r="F48" s="328"/>
      <c r="G48" s="329"/>
      <c r="H48" s="330"/>
      <c r="I48" s="331"/>
      <c r="J48" s="331"/>
      <c r="K48" s="331"/>
      <c r="L48" s="331"/>
      <c r="M48" s="332"/>
      <c r="N48" s="333"/>
      <c r="O48" s="331"/>
      <c r="Q48" s="332"/>
      <c r="R48" s="332"/>
      <c r="S48" s="332"/>
      <c r="U48" s="332"/>
      <c r="V48" s="332"/>
      <c r="W48" s="332"/>
      <c r="Y48" s="784"/>
      <c r="Z48" s="333">
        <f t="shared" si="4"/>
        <v>0</v>
      </c>
    </row>
    <row r="49" spans="1:26" x14ac:dyDescent="0.2">
      <c r="A49" s="310">
        <v>44</v>
      </c>
      <c r="B49" s="342">
        <v>4081</v>
      </c>
      <c r="C49" s="345" t="s">
        <v>281</v>
      </c>
      <c r="D49" s="341">
        <v>0</v>
      </c>
      <c r="E49" s="341" t="s">
        <v>554</v>
      </c>
      <c r="F49" s="328">
        <f t="shared" si="8"/>
        <v>4.7654816470421898E-2</v>
      </c>
      <c r="G49" s="329">
        <f t="shared" si="5"/>
        <v>5.0000003401513497E-2</v>
      </c>
      <c r="H49" s="330"/>
      <c r="I49" s="331">
        <f>'4081'!$J$107</f>
        <v>1079590.56</v>
      </c>
      <c r="J49" s="331">
        <f>'4081'!$J$109</f>
        <v>1028953.7300000001</v>
      </c>
      <c r="K49" s="331">
        <f>'4081'!$J$114</f>
        <v>-51447.69</v>
      </c>
      <c r="L49" s="331">
        <f>'4081'!$J$116</f>
        <v>1028142.8700000001</v>
      </c>
      <c r="M49" s="332">
        <f>'4081'!$J$124</f>
        <v>86139.09</v>
      </c>
      <c r="N49" s="333"/>
      <c r="O49" s="331" cm="1">
        <f t="array" ref="O49:P49">'4081'!E28:F28</f>
        <v>129.96</v>
      </c>
      <c r="P49" s="309">
        <v>0</v>
      </c>
      <c r="Q49" s="332">
        <f t="shared" si="9"/>
        <v>8307.0987996306558</v>
      </c>
      <c r="R49" s="332">
        <f t="shared" si="6"/>
        <v>-395.87326869806094</v>
      </c>
      <c r="S49" s="332">
        <f t="shared" si="7"/>
        <v>7911.2255309325947</v>
      </c>
      <c r="U49" s="332">
        <f t="shared" si="10"/>
        <v>0</v>
      </c>
      <c r="V49" s="332">
        <f t="shared" si="0"/>
        <v>0</v>
      </c>
      <c r="W49" s="332">
        <f t="shared" si="1"/>
        <v>7911.2255309325947</v>
      </c>
      <c r="Y49" s="784">
        <v>86139.09</v>
      </c>
      <c r="Z49" s="333">
        <f t="shared" si="4"/>
        <v>0</v>
      </c>
    </row>
    <row r="50" spans="1:26" x14ac:dyDescent="0.2">
      <c r="A50" s="310">
        <v>45</v>
      </c>
      <c r="B50" s="342">
        <v>4090</v>
      </c>
      <c r="C50" s="345" t="s">
        <v>282</v>
      </c>
      <c r="D50" s="341">
        <v>0</v>
      </c>
      <c r="E50" s="341" t="s">
        <v>554</v>
      </c>
      <c r="F50" s="328">
        <f t="shared" si="8"/>
        <v>3.9194941343108337E-2</v>
      </c>
      <c r="G50" s="329">
        <f t="shared" si="5"/>
        <v>4.1025304166593363E-2</v>
      </c>
      <c r="H50" s="330"/>
      <c r="I50" s="331">
        <f>'4090'!$J$107</f>
        <v>2539803.0099999998</v>
      </c>
      <c r="J50" s="331">
        <f>'4090'!$J$109</f>
        <v>2426488.5299999998</v>
      </c>
      <c r="K50" s="331">
        <f>'4090'!$J$114</f>
        <v>-99547.43</v>
      </c>
      <c r="L50" s="331">
        <f>'4090'!$J$116</f>
        <v>2440255.5799999996</v>
      </c>
      <c r="M50" s="332">
        <f>'4090'!$J$124</f>
        <v>209719.73</v>
      </c>
      <c r="N50" s="333"/>
      <c r="O50" s="331" cm="1">
        <f t="array" ref="O50:P50">'4090'!E28:F28</f>
        <v>304.69000000000005</v>
      </c>
      <c r="P50" s="309">
        <v>0</v>
      </c>
      <c r="Q50" s="332">
        <f t="shared" si="9"/>
        <v>8335.6953296793436</v>
      </c>
      <c r="R50" s="332">
        <f t="shared" si="6"/>
        <v>-326.71708950080404</v>
      </c>
      <c r="S50" s="332">
        <f t="shared" si="7"/>
        <v>8008.9782401785396</v>
      </c>
      <c r="U50" s="332">
        <f t="shared" si="10"/>
        <v>0</v>
      </c>
      <c r="V50" s="332">
        <f t="shared" si="0"/>
        <v>0</v>
      </c>
      <c r="W50" s="332">
        <f t="shared" si="1"/>
        <v>8008.9782401785396</v>
      </c>
      <c r="Y50" s="784">
        <v>209719.73</v>
      </c>
      <c r="Z50" s="333">
        <f t="shared" si="4"/>
        <v>0</v>
      </c>
    </row>
    <row r="51" spans="1:26" x14ac:dyDescent="0.2">
      <c r="A51" s="310">
        <v>46</v>
      </c>
      <c r="B51" s="342">
        <v>4091</v>
      </c>
      <c r="C51" s="345" t="s">
        <v>283</v>
      </c>
      <c r="D51" s="341">
        <v>0</v>
      </c>
      <c r="E51" s="341" t="s">
        <v>554</v>
      </c>
      <c r="F51" s="328">
        <f t="shared" si="8"/>
        <v>3.0142212547898853E-2</v>
      </c>
      <c r="G51" s="329">
        <f t="shared" si="5"/>
        <v>3.1717032229739393E-2</v>
      </c>
      <c r="H51" s="330"/>
      <c r="I51" s="331">
        <f>'4091'!$J$107</f>
        <v>3525786.6299999994</v>
      </c>
      <c r="J51" s="331">
        <f>'4091'!$J$109</f>
        <v>3350723.6499999994</v>
      </c>
      <c r="K51" s="331">
        <f>'4091'!$J$114</f>
        <v>-106275.01</v>
      </c>
      <c r="L51" s="331">
        <f>'4091'!$J$116</f>
        <v>3419511.6199999996</v>
      </c>
      <c r="M51" s="332">
        <f>'4091'!$J$124</f>
        <v>283969.88</v>
      </c>
      <c r="N51" s="333"/>
      <c r="O51" s="331" cm="1">
        <f t="array" ref="O51:P51">'4091'!E28:F28</f>
        <v>394.11000000000007</v>
      </c>
      <c r="P51" s="309">
        <v>0</v>
      </c>
      <c r="Q51" s="332">
        <f t="shared" si="9"/>
        <v>8946.1993605846055</v>
      </c>
      <c r="R51" s="332">
        <f t="shared" si="6"/>
        <v>-269.65824262261799</v>
      </c>
      <c r="S51" s="332">
        <f t="shared" si="7"/>
        <v>8676.5411179619878</v>
      </c>
      <c r="U51" s="332">
        <f t="shared" si="10"/>
        <v>0</v>
      </c>
      <c r="V51" s="332">
        <f t="shared" si="0"/>
        <v>0</v>
      </c>
      <c r="W51" s="332">
        <f t="shared" si="1"/>
        <v>8676.5411179619878</v>
      </c>
      <c r="Y51" s="784">
        <v>283969.88</v>
      </c>
      <c r="Z51" s="333">
        <f t="shared" si="4"/>
        <v>0</v>
      </c>
    </row>
    <row r="52" spans="1:26" x14ac:dyDescent="0.2">
      <c r="A52" s="310">
        <v>47</v>
      </c>
      <c r="B52" s="342">
        <v>4100</v>
      </c>
      <c r="C52" s="345" t="s">
        <v>284</v>
      </c>
      <c r="D52" s="341">
        <v>0</v>
      </c>
      <c r="E52" s="341">
        <v>1</v>
      </c>
      <c r="F52" s="328">
        <f t="shared" si="8"/>
        <v>7.975255895118669E-3</v>
      </c>
      <c r="G52" s="329">
        <f t="shared" si="5"/>
        <v>8.4041644696270269E-3</v>
      </c>
      <c r="H52" s="330"/>
      <c r="I52" s="331">
        <f>'4100'!$J$107</f>
        <v>3884034.62</v>
      </c>
      <c r="J52" s="331">
        <f>'4100'!$J$109</f>
        <v>3685811.97</v>
      </c>
      <c r="K52" s="331">
        <f>'4100'!$J$114</f>
        <v>-30976.17</v>
      </c>
      <c r="L52" s="331">
        <f>'4100'!$J$116</f>
        <v>3853058.45</v>
      </c>
      <c r="M52" s="332">
        <f>'4100'!$J$124</f>
        <v>322228.78999999998</v>
      </c>
      <c r="N52" s="333"/>
      <c r="O52" s="331" cm="1">
        <f t="array" ref="O52:P52">'4100'!E28:F28</f>
        <v>101</v>
      </c>
      <c r="P52" s="309">
        <v>0</v>
      </c>
      <c r="Q52" s="332">
        <f t="shared" si="9"/>
        <v>38455.788316831684</v>
      </c>
      <c r="R52" s="332">
        <f t="shared" si="6"/>
        <v>-306.69475247524753</v>
      </c>
      <c r="S52" s="332">
        <f t="shared" si="7"/>
        <v>38149.093564356437</v>
      </c>
      <c r="U52" s="332">
        <f t="shared" si="10"/>
        <v>0</v>
      </c>
      <c r="V52" s="332">
        <f t="shared" si="0"/>
        <v>38149.089999999997</v>
      </c>
      <c r="W52" s="332">
        <f t="shared" si="1"/>
        <v>0</v>
      </c>
      <c r="Y52" s="784">
        <v>275467.03999999998</v>
      </c>
      <c r="Z52" s="333">
        <f t="shared" si="4"/>
        <v>-46761.75</v>
      </c>
    </row>
    <row r="53" spans="1:26" x14ac:dyDescent="0.2">
      <c r="A53" s="310">
        <v>48</v>
      </c>
      <c r="B53" s="342">
        <v>4102</v>
      </c>
      <c r="C53" s="345" t="s">
        <v>285</v>
      </c>
      <c r="D53" s="341">
        <v>0</v>
      </c>
      <c r="E53" s="341" t="s">
        <v>554</v>
      </c>
      <c r="F53" s="328">
        <f t="shared" si="8"/>
        <v>4.8054643405668715E-2</v>
      </c>
      <c r="G53" s="329">
        <f t="shared" si="5"/>
        <v>4.9999999999999989E-2</v>
      </c>
      <c r="H53" s="330"/>
      <c r="I53" s="331">
        <f>'4102'!$J$107</f>
        <v>1566972.61</v>
      </c>
      <c r="J53" s="331">
        <f>'4102'!$J$109</f>
        <v>1506006.2000000002</v>
      </c>
      <c r="K53" s="331">
        <f>'4102'!$J$114</f>
        <v>-75300.31</v>
      </c>
      <c r="L53" s="331">
        <f>'4102'!$J$116</f>
        <v>1491672.3</v>
      </c>
      <c r="M53" s="332">
        <f>'4102'!$J$124</f>
        <v>129838.42</v>
      </c>
      <c r="N53" s="333"/>
      <c r="O53" s="331" cm="1">
        <f t="array" ref="O53:P53">'4102'!E28:F28</f>
        <v>181</v>
      </c>
      <c r="P53" s="309">
        <v>0</v>
      </c>
      <c r="Q53" s="332">
        <v>0</v>
      </c>
      <c r="R53" s="332">
        <v>0</v>
      </c>
      <c r="S53" s="332">
        <v>0</v>
      </c>
      <c r="U53" s="332">
        <f t="shared" si="10"/>
        <v>0</v>
      </c>
      <c r="V53" s="332">
        <f t="shared" si="0"/>
        <v>0</v>
      </c>
      <c r="W53" s="332">
        <f>IF(AND(U53=0,V53=0),S53,)</f>
        <v>0</v>
      </c>
      <c r="Y53" s="784">
        <v>129838.42</v>
      </c>
      <c r="Z53" s="333">
        <f t="shared" si="4"/>
        <v>0</v>
      </c>
    </row>
    <row r="54" spans="1:26" x14ac:dyDescent="0.2">
      <c r="A54" s="310">
        <v>49</v>
      </c>
      <c r="B54" s="342">
        <v>4103</v>
      </c>
      <c r="C54" s="345" t="s">
        <v>286</v>
      </c>
      <c r="D54" s="341">
        <v>0</v>
      </c>
      <c r="E54" s="341" t="s">
        <v>554</v>
      </c>
      <c r="F54" s="328">
        <f>IF(I54=0,0,-K54/I54)</f>
        <v>1.2269443930058604E-2</v>
      </c>
      <c r="G54" s="329">
        <f t="shared" si="5"/>
        <v>1.2876508667767463E-2</v>
      </c>
      <c r="H54" s="330"/>
      <c r="I54" s="331">
        <f>'4103'!$J$107</f>
        <v>8425905.9000000004</v>
      </c>
      <c r="J54" s="331">
        <f>'4103'!$J$109</f>
        <v>8028665.4300000006</v>
      </c>
      <c r="K54" s="331">
        <f>'4103'!$J$114</f>
        <v>-103381.18</v>
      </c>
      <c r="L54" s="331">
        <f>'4103'!$J$116</f>
        <v>8322524.7200000007</v>
      </c>
      <c r="M54" s="332">
        <f>'4103'!$J$124</f>
        <v>698845.87</v>
      </c>
      <c r="N54" s="333"/>
      <c r="O54" s="331" cm="1">
        <f t="array" ref="O54:P54">'4103'!E28:F28</f>
        <v>970.7600000000001</v>
      </c>
      <c r="P54" s="309">
        <v>0</v>
      </c>
      <c r="Q54" s="332">
        <f>IF(O54=0,0,I54/O54)</f>
        <v>8679.7003378795998</v>
      </c>
      <c r="R54" s="332">
        <f>IF(O54=0,0,K54/O54)</f>
        <v>-106.49509662532446</v>
      </c>
      <c r="S54" s="332">
        <f>IF(O54=0,0,L54/O54)</f>
        <v>8573.2052412542744</v>
      </c>
      <c r="U54" s="332">
        <f t="shared" si="10"/>
        <v>0</v>
      </c>
      <c r="V54" s="332">
        <f t="shared" si="0"/>
        <v>0</v>
      </c>
      <c r="W54" s="332">
        <f>IF(AND(U54=0,V54=0),S54,)</f>
        <v>8573.2052412542744</v>
      </c>
      <c r="Y54" s="784">
        <v>698845.87</v>
      </c>
      <c r="Z54" s="333">
        <f t="shared" si="4"/>
        <v>0</v>
      </c>
    </row>
    <row r="55" spans="1:26" x14ac:dyDescent="0.2">
      <c r="A55" s="310">
        <v>50</v>
      </c>
      <c r="B55" s="342">
        <v>4111</v>
      </c>
      <c r="C55" s="345" t="s">
        <v>287</v>
      </c>
      <c r="D55" s="341">
        <v>0</v>
      </c>
      <c r="E55" s="341" t="s">
        <v>554</v>
      </c>
      <c r="F55" s="328">
        <f>IF(I55=0,0,-K55/I55)</f>
        <v>3.872236135266207E-2</v>
      </c>
      <c r="G55" s="329">
        <f t="shared" si="5"/>
        <v>4.0699377153423352E-2</v>
      </c>
      <c r="H55" s="330"/>
      <c r="I55" s="331">
        <f>'4111'!$J$107</f>
        <v>2555735.1500000004</v>
      </c>
      <c r="J55" s="331">
        <f>'4111'!$J$109</f>
        <v>2431587.5800000005</v>
      </c>
      <c r="K55" s="331">
        <f>'4111'!$J$114</f>
        <v>-98964.1</v>
      </c>
      <c r="L55" s="331">
        <f>'4111'!$J$116</f>
        <v>2456771.0500000003</v>
      </c>
      <c r="M55" s="332">
        <f>'4111'!$J$124</f>
        <v>205425.31</v>
      </c>
      <c r="N55" s="333"/>
      <c r="O55" s="331" cm="1">
        <f t="array" ref="O55:P55">'4111'!E28:F28</f>
        <v>307.13</v>
      </c>
      <c r="P55" s="309">
        <v>0</v>
      </c>
      <c r="Q55" s="332">
        <f>IF(O55=0,0,I55/O55)</f>
        <v>8321.3464982255082</v>
      </c>
      <c r="R55" s="332">
        <f>IF(O55=0,0,K55/O55)</f>
        <v>-322.22218604499727</v>
      </c>
      <c r="S55" s="332">
        <f>IF(O55=0,0,L55/O55)</f>
        <v>7999.124312180511</v>
      </c>
      <c r="U55" s="332">
        <f t="shared" si="10"/>
        <v>0</v>
      </c>
      <c r="V55" s="332">
        <f t="shared" si="0"/>
        <v>0</v>
      </c>
      <c r="W55" s="332">
        <f>IF(AND(U55=0,V55=0),S55,)</f>
        <v>7999.124312180511</v>
      </c>
      <c r="Y55" s="784">
        <v>205425.31</v>
      </c>
      <c r="Z55" s="333">
        <f t="shared" si="4"/>
        <v>0</v>
      </c>
    </row>
    <row r="56" spans="1:26" x14ac:dyDescent="0.2">
      <c r="A56" s="310">
        <v>51</v>
      </c>
      <c r="B56" s="342">
        <v>4131</v>
      </c>
      <c r="C56" s="345" t="s">
        <v>288</v>
      </c>
      <c r="D56" s="341">
        <v>0</v>
      </c>
      <c r="E56" s="341" t="s">
        <v>554</v>
      </c>
      <c r="F56" s="328">
        <f>IF(I56=0,0,-K56/I56)</f>
        <v>4.7586386227645917E-2</v>
      </c>
      <c r="G56" s="329">
        <f t="shared" si="5"/>
        <v>5.0000004316840665E-2</v>
      </c>
      <c r="H56" s="330"/>
      <c r="I56" s="331">
        <f>'4131'!$J$107</f>
        <v>851901.42</v>
      </c>
      <c r="J56" s="331">
        <f>'4131'!$J$109</f>
        <v>810778.13</v>
      </c>
      <c r="K56" s="331">
        <f>'4131'!$J$114</f>
        <v>-40538.910000000003</v>
      </c>
      <c r="L56" s="331">
        <f>'4131'!$J$116</f>
        <v>811362.51</v>
      </c>
      <c r="M56" s="332">
        <f>'4131'!$J$124</f>
        <v>67799.25</v>
      </c>
      <c r="N56" s="333"/>
      <c r="O56" s="331" cm="1">
        <f t="array" ref="O56:P56">'4131'!E28:F28</f>
        <v>102.78</v>
      </c>
      <c r="P56" s="309">
        <v>0</v>
      </c>
      <c r="Q56" s="332">
        <f>IF(O56=0,0,I56/O56)</f>
        <v>8288.5913601868069</v>
      </c>
      <c r="R56" s="332">
        <f>IF(O56=0,0,K56/O56)</f>
        <v>-394.42410974897842</v>
      </c>
      <c r="S56" s="332">
        <f>IF(O56=0,0,L56/O56)</f>
        <v>7894.1672504378284</v>
      </c>
      <c r="U56" s="332">
        <f t="shared" si="10"/>
        <v>0</v>
      </c>
      <c r="V56" s="332">
        <f t="shared" si="0"/>
        <v>0</v>
      </c>
      <c r="W56" s="332">
        <f>IF(AND(U56=0,V56=0),S56,)</f>
        <v>7894.1672504378284</v>
      </c>
      <c r="Y56" s="784">
        <v>67799.25</v>
      </c>
      <c r="Z56" s="333">
        <f t="shared" si="4"/>
        <v>0</v>
      </c>
    </row>
    <row r="57" spans="1:26" x14ac:dyDescent="0.2">
      <c r="A57" s="347"/>
    </row>
    <row r="58" spans="1:26" x14ac:dyDescent="0.2">
      <c r="D58" s="310">
        <f>COUNTIF(D6:D57,"H")</f>
        <v>12</v>
      </c>
      <c r="E58" s="349">
        <f>SUM(E6:E57)</f>
        <v>9</v>
      </c>
      <c r="F58" s="330">
        <f>-K58/I58</f>
        <v>1.4916084591426656E-2</v>
      </c>
      <c r="G58" s="330">
        <f t="shared" si="5"/>
        <v>1.5643592192574992E-2</v>
      </c>
      <c r="I58" s="333">
        <f>SUM(I6:I57)</f>
        <v>214241176.39000008</v>
      </c>
      <c r="J58" s="333">
        <f>SUM(J6:J57)</f>
        <v>204277858.34999999</v>
      </c>
      <c r="K58" s="333">
        <f>SUM(K6:K57)</f>
        <v>-3195639.5100000002</v>
      </c>
      <c r="L58" s="333">
        <f>SUM(L6:L57)</f>
        <v>211045536.88000003</v>
      </c>
      <c r="M58" s="333">
        <f>SUM(M6:M57)</f>
        <v>17759251.090000004</v>
      </c>
      <c r="O58" s="333">
        <f>SUM(O6:O57)</f>
        <v>21849.029999999995</v>
      </c>
      <c r="Q58" s="333">
        <f>SUM(Q6:Q57)</f>
        <v>575003.90585584228</v>
      </c>
      <c r="R58" s="348">
        <f>K58/O58</f>
        <v>-146.26001749276745</v>
      </c>
      <c r="S58" s="348">
        <f>L58/O58</f>
        <v>9659.263449224065</v>
      </c>
      <c r="U58" s="333">
        <f>AVERAGEIF(U9:U55,"&lt;&gt;0")</f>
        <v>8773.2431151691399</v>
      </c>
      <c r="V58" s="333">
        <f>AVERAGEIF(V9:V55,"&lt;&gt;0")</f>
        <v>26553.18375</v>
      </c>
      <c r="W58" s="333">
        <f>AVERAGEIF(W6:W56,"&lt;&gt;0")</f>
        <v>8410.5598295956606</v>
      </c>
    </row>
    <row r="59" spans="1:26" x14ac:dyDescent="0.2">
      <c r="O59" s="333"/>
    </row>
    <row r="60" spans="1:26" x14ac:dyDescent="0.2">
      <c r="C60" s="309" t="s">
        <v>289</v>
      </c>
      <c r="I60" s="350">
        <f>Consolidated!I142</f>
        <v>214241176.39000008</v>
      </c>
      <c r="J60" s="350">
        <f>Consolidated!I144</f>
        <v>204277858.34999999</v>
      </c>
      <c r="K60" s="350">
        <f>Consolidated!I155</f>
        <v>-3195639.5100000002</v>
      </c>
      <c r="L60" s="350">
        <f>I60+K60</f>
        <v>211045536.88000008</v>
      </c>
      <c r="M60" s="350">
        <f>Consolidated!I159</f>
        <v>17759251.090000004</v>
      </c>
    </row>
    <row r="61" spans="1:26" x14ac:dyDescent="0.2">
      <c r="L61" s="351"/>
    </row>
    <row r="62" spans="1:26" ht="13.5" thickBot="1" x14ac:dyDescent="0.25">
      <c r="C62" s="309" t="s">
        <v>290</v>
      </c>
      <c r="I62" s="352">
        <f>I60-I58</f>
        <v>0</v>
      </c>
      <c r="J62" s="352">
        <f>J60-J58</f>
        <v>0</v>
      </c>
      <c r="K62" s="352">
        <f>K60-K58</f>
        <v>0</v>
      </c>
      <c r="L62" s="352">
        <f>L60-L58</f>
        <v>0</v>
      </c>
      <c r="M62" s="352">
        <f>M60-M58</f>
        <v>0</v>
      </c>
    </row>
    <row r="63" spans="1:26" ht="13.5" thickTop="1" x14ac:dyDescent="0.2">
      <c r="L63" s="348"/>
    </row>
    <row r="64" spans="1:26" x14ac:dyDescent="0.2">
      <c r="L64" s="333"/>
    </row>
    <row r="65" spans="12:12" x14ac:dyDescent="0.2">
      <c r="L65" s="353"/>
    </row>
    <row r="66" spans="12:12" x14ac:dyDescent="0.2">
      <c r="L66" s="596"/>
    </row>
    <row r="67" spans="12:12" x14ac:dyDescent="0.2">
      <c r="L67" s="597"/>
    </row>
    <row r="68" spans="12:12" x14ac:dyDescent="0.2">
      <c r="L68" s="598"/>
    </row>
    <row r="69" spans="12:12" x14ac:dyDescent="0.2">
      <c r="L69" s="598"/>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54" t="s">
        <v>291</v>
      </c>
      <c r="C1" s="355"/>
      <c r="D1" s="355"/>
      <c r="E1" s="356"/>
      <c r="F1" s="355"/>
    </row>
    <row r="2" spans="1:10" x14ac:dyDescent="0.2">
      <c r="B2" s="357"/>
      <c r="C2" s="355"/>
      <c r="D2" s="355"/>
      <c r="E2" s="356"/>
      <c r="F2" s="355"/>
    </row>
    <row r="3" spans="1:10" x14ac:dyDescent="0.2">
      <c r="B3" s="807" t="s">
        <v>292</v>
      </c>
      <c r="C3" s="808"/>
      <c r="D3" s="355"/>
      <c r="E3" s="807" t="s">
        <v>293</v>
      </c>
      <c r="F3" s="808"/>
    </row>
    <row r="4" spans="1:10" x14ac:dyDescent="0.2">
      <c r="B4" s="358" t="s">
        <v>294</v>
      </c>
      <c r="C4" s="359" t="s">
        <v>295</v>
      </c>
      <c r="D4" s="355"/>
      <c r="E4" s="358" t="s">
        <v>294</v>
      </c>
      <c r="F4" s="359" t="s">
        <v>295</v>
      </c>
    </row>
    <row r="5" spans="1:10" x14ac:dyDescent="0.2">
      <c r="A5" s="347">
        <v>1</v>
      </c>
      <c r="B5" s="360" t="s">
        <v>212</v>
      </c>
      <c r="C5" s="361" t="s">
        <v>296</v>
      </c>
      <c r="D5" s="355"/>
      <c r="E5" s="360" t="s">
        <v>250</v>
      </c>
      <c r="F5" s="362" t="s">
        <v>251</v>
      </c>
    </row>
    <row r="6" spans="1:10" x14ac:dyDescent="0.2">
      <c r="A6" s="347">
        <v>2</v>
      </c>
      <c r="B6" s="782" t="s">
        <v>556</v>
      </c>
      <c r="C6" s="313" t="s">
        <v>559</v>
      </c>
      <c r="D6" s="355"/>
      <c r="E6" s="360" t="s">
        <v>262</v>
      </c>
      <c r="F6" s="362" t="s">
        <v>263</v>
      </c>
      <c r="I6" s="363" t="s">
        <v>298</v>
      </c>
    </row>
    <row r="7" spans="1:10" x14ac:dyDescent="0.2">
      <c r="A7" s="347">
        <v>3</v>
      </c>
      <c r="B7" s="360" t="s">
        <v>214</v>
      </c>
      <c r="C7" s="361" t="s">
        <v>297</v>
      </c>
      <c r="D7" s="355"/>
      <c r="E7" s="360" t="s">
        <v>299</v>
      </c>
      <c r="F7" s="362" t="s">
        <v>300</v>
      </c>
    </row>
    <row r="8" spans="1:10" x14ac:dyDescent="0.2">
      <c r="A8" s="347">
        <v>4</v>
      </c>
      <c r="B8" s="360" t="s">
        <v>216</v>
      </c>
      <c r="C8" s="361" t="s">
        <v>217</v>
      </c>
      <c r="D8" s="355"/>
      <c r="E8" s="360" t="s">
        <v>301</v>
      </c>
      <c r="F8" s="362" t="s">
        <v>302</v>
      </c>
    </row>
    <row r="9" spans="1:10" x14ac:dyDescent="0.2">
      <c r="A9" s="347">
        <v>5</v>
      </c>
      <c r="B9" s="360" t="s">
        <v>218</v>
      </c>
      <c r="C9" s="361" t="s">
        <v>219</v>
      </c>
      <c r="D9" s="355"/>
      <c r="E9" s="360" t="s">
        <v>220</v>
      </c>
      <c r="F9" s="361" t="s">
        <v>221</v>
      </c>
      <c r="I9" s="363" t="s">
        <v>303</v>
      </c>
    </row>
    <row r="10" spans="1:10" x14ac:dyDescent="0.2">
      <c r="A10" s="347">
        <v>6</v>
      </c>
      <c r="B10" s="360" t="s">
        <v>220</v>
      </c>
      <c r="C10" s="361" t="s">
        <v>221</v>
      </c>
      <c r="D10" s="355"/>
      <c r="E10" s="360" t="s">
        <v>248</v>
      </c>
      <c r="F10" s="362" t="s">
        <v>249</v>
      </c>
      <c r="I10" s="363" t="s">
        <v>305</v>
      </c>
    </row>
    <row r="11" spans="1:10" x14ac:dyDescent="0.2">
      <c r="A11" s="347">
        <v>7</v>
      </c>
      <c r="B11" s="360" t="s">
        <v>222</v>
      </c>
      <c r="C11" s="362" t="s">
        <v>304</v>
      </c>
      <c r="D11" s="355"/>
      <c r="E11" s="360" t="s">
        <v>307</v>
      </c>
      <c r="F11" s="362" t="s">
        <v>281</v>
      </c>
      <c r="I11" s="364"/>
      <c r="J11" s="365"/>
    </row>
    <row r="12" spans="1:10" x14ac:dyDescent="0.2">
      <c r="A12" s="347">
        <v>8</v>
      </c>
      <c r="B12" s="360" t="s">
        <v>224</v>
      </c>
      <c r="C12" s="362" t="s">
        <v>306</v>
      </c>
      <c r="D12" s="355"/>
      <c r="E12" s="360" t="s">
        <v>308</v>
      </c>
      <c r="F12" s="362" t="s">
        <v>273</v>
      </c>
    </row>
    <row r="13" spans="1:10" x14ac:dyDescent="0.2">
      <c r="A13" s="347">
        <v>9</v>
      </c>
      <c r="B13" s="360" t="s">
        <v>226</v>
      </c>
      <c r="C13" s="362" t="s">
        <v>227</v>
      </c>
      <c r="D13" s="355"/>
      <c r="E13" s="360" t="s">
        <v>309</v>
      </c>
      <c r="F13" s="362" t="s">
        <v>279</v>
      </c>
      <c r="I13" s="366" t="s">
        <v>310</v>
      </c>
    </row>
    <row r="14" spans="1:10" x14ac:dyDescent="0.2">
      <c r="A14" s="347">
        <v>10</v>
      </c>
      <c r="B14" s="360" t="s">
        <v>228</v>
      </c>
      <c r="C14" s="361" t="s">
        <v>229</v>
      </c>
      <c r="D14" s="355"/>
      <c r="E14" s="360" t="s">
        <v>264</v>
      </c>
      <c r="F14" s="361" t="s">
        <v>265</v>
      </c>
      <c r="I14" s="367" t="s">
        <v>212</v>
      </c>
      <c r="J14" s="368" t="s">
        <v>296</v>
      </c>
    </row>
    <row r="15" spans="1:10" x14ac:dyDescent="0.2">
      <c r="A15" s="347">
        <v>11</v>
      </c>
      <c r="B15" s="360" t="s">
        <v>230</v>
      </c>
      <c r="C15" s="362" t="s">
        <v>231</v>
      </c>
      <c r="D15" s="355"/>
      <c r="E15" s="360" t="s">
        <v>238</v>
      </c>
      <c r="F15" s="361" t="s">
        <v>239</v>
      </c>
      <c r="I15" s="364" t="s">
        <v>214</v>
      </c>
      <c r="J15" s="365" t="s">
        <v>297</v>
      </c>
    </row>
    <row r="16" spans="1:10" x14ac:dyDescent="0.2">
      <c r="A16" s="347">
        <v>12</v>
      </c>
      <c r="B16" s="360" t="s">
        <v>232</v>
      </c>
      <c r="C16" s="362" t="s">
        <v>311</v>
      </c>
      <c r="D16" s="355"/>
      <c r="E16" s="360" t="s">
        <v>246</v>
      </c>
      <c r="F16" s="361" t="s">
        <v>312</v>
      </c>
      <c r="I16" s="370">
        <v>3362</v>
      </c>
      <c r="J16" s="371" t="s">
        <v>313</v>
      </c>
    </row>
    <row r="17" spans="1:9" x14ac:dyDescent="0.2">
      <c r="A17" s="347">
        <v>13</v>
      </c>
      <c r="B17" s="360" t="s">
        <v>234</v>
      </c>
      <c r="C17" s="369" t="s">
        <v>235</v>
      </c>
      <c r="D17" s="355"/>
      <c r="E17" s="360" t="s">
        <v>234</v>
      </c>
      <c r="F17" s="369" t="s">
        <v>235</v>
      </c>
      <c r="I17" s="781" t="s">
        <v>556</v>
      </c>
    </row>
    <row r="18" spans="1:9" x14ac:dyDescent="0.2">
      <c r="A18" s="347">
        <v>14</v>
      </c>
      <c r="B18" s="310">
        <v>3362</v>
      </c>
      <c r="C18" s="309" t="s">
        <v>314</v>
      </c>
      <c r="D18" s="355"/>
      <c r="E18" s="360" t="s">
        <v>236</v>
      </c>
      <c r="F18" s="361" t="s">
        <v>237</v>
      </c>
    </row>
    <row r="19" spans="1:9" x14ac:dyDescent="0.2">
      <c r="A19" s="347">
        <v>15</v>
      </c>
      <c r="B19" s="360" t="s">
        <v>236</v>
      </c>
      <c r="C19" s="361" t="s">
        <v>237</v>
      </c>
      <c r="D19" s="355"/>
      <c r="E19" s="360" t="s">
        <v>216</v>
      </c>
      <c r="F19" s="361" t="s">
        <v>217</v>
      </c>
    </row>
    <row r="20" spans="1:9" x14ac:dyDescent="0.2">
      <c r="A20" s="347">
        <v>16</v>
      </c>
      <c r="B20" s="360" t="s">
        <v>238</v>
      </c>
      <c r="C20" s="361" t="s">
        <v>239</v>
      </c>
      <c r="D20" s="355"/>
      <c r="E20" s="360" t="s">
        <v>242</v>
      </c>
      <c r="F20" s="361" t="s">
        <v>243</v>
      </c>
    </row>
    <row r="21" spans="1:9" x14ac:dyDescent="0.2">
      <c r="A21" s="347">
        <v>17</v>
      </c>
      <c r="B21" s="360" t="s">
        <v>240</v>
      </c>
      <c r="C21" s="361" t="s">
        <v>241</v>
      </c>
      <c r="D21" s="355"/>
      <c r="E21" s="360" t="s">
        <v>315</v>
      </c>
      <c r="F21" s="372" t="s">
        <v>274</v>
      </c>
    </row>
    <row r="22" spans="1:9" x14ac:dyDescent="0.2">
      <c r="A22" s="347">
        <v>18</v>
      </c>
      <c r="B22" s="360" t="s">
        <v>242</v>
      </c>
      <c r="C22" s="361" t="s">
        <v>243</v>
      </c>
      <c r="D22" s="355"/>
      <c r="E22" s="360" t="s">
        <v>226</v>
      </c>
      <c r="F22" s="362" t="s">
        <v>227</v>
      </c>
    </row>
    <row r="23" spans="1:9" x14ac:dyDescent="0.2">
      <c r="A23" s="347">
        <v>19</v>
      </c>
      <c r="B23" s="360" t="s">
        <v>244</v>
      </c>
      <c r="C23" s="362" t="s">
        <v>316</v>
      </c>
      <c r="D23" s="355"/>
      <c r="E23" s="360" t="s">
        <v>317</v>
      </c>
      <c r="F23" s="372" t="s">
        <v>261</v>
      </c>
    </row>
    <row r="24" spans="1:9" x14ac:dyDescent="0.2">
      <c r="A24" s="347">
        <v>20</v>
      </c>
      <c r="B24" s="360" t="s">
        <v>246</v>
      </c>
      <c r="C24" s="361" t="s">
        <v>312</v>
      </c>
      <c r="D24" s="355"/>
      <c r="E24" s="360" t="s">
        <v>266</v>
      </c>
      <c r="F24" s="361" t="s">
        <v>267</v>
      </c>
    </row>
    <row r="25" spans="1:9" x14ac:dyDescent="0.2">
      <c r="A25" s="347">
        <v>21</v>
      </c>
      <c r="B25" s="360" t="s">
        <v>248</v>
      </c>
      <c r="C25" s="362" t="s">
        <v>249</v>
      </c>
      <c r="D25" s="355"/>
      <c r="E25" s="360" t="s">
        <v>212</v>
      </c>
      <c r="F25" s="361" t="s">
        <v>296</v>
      </c>
    </row>
    <row r="26" spans="1:9" x14ac:dyDescent="0.2">
      <c r="A26" s="347">
        <v>22</v>
      </c>
      <c r="B26" s="360" t="s">
        <v>250</v>
      </c>
      <c r="C26" s="362" t="s">
        <v>251</v>
      </c>
      <c r="D26" s="355"/>
      <c r="E26" s="360" t="s">
        <v>230</v>
      </c>
      <c r="F26" s="362" t="s">
        <v>231</v>
      </c>
    </row>
    <row r="27" spans="1:9" x14ac:dyDescent="0.2">
      <c r="A27" s="347">
        <v>23</v>
      </c>
      <c r="B27" s="360" t="s">
        <v>252</v>
      </c>
      <c r="C27" s="361" t="s">
        <v>253</v>
      </c>
      <c r="D27" s="355"/>
      <c r="E27" s="360" t="s">
        <v>222</v>
      </c>
      <c r="F27" s="362" t="s">
        <v>318</v>
      </c>
    </row>
    <row r="28" spans="1:9" x14ac:dyDescent="0.2">
      <c r="A28" s="347">
        <v>24</v>
      </c>
      <c r="B28" s="360" t="s">
        <v>254</v>
      </c>
      <c r="C28" s="362" t="s">
        <v>255</v>
      </c>
      <c r="D28" s="355"/>
      <c r="E28" s="360" t="s">
        <v>252</v>
      </c>
      <c r="F28" s="361" t="s">
        <v>253</v>
      </c>
    </row>
    <row r="29" spans="1:9" x14ac:dyDescent="0.2">
      <c r="A29" s="347">
        <v>25</v>
      </c>
      <c r="B29" s="373" t="s">
        <v>256</v>
      </c>
      <c r="C29" s="362" t="s">
        <v>257</v>
      </c>
      <c r="D29" s="355"/>
      <c r="E29" s="360" t="s">
        <v>319</v>
      </c>
      <c r="F29" s="362" t="s">
        <v>278</v>
      </c>
      <c r="I29" s="314"/>
    </row>
    <row r="30" spans="1:9" x14ac:dyDescent="0.2">
      <c r="A30" s="347">
        <v>26</v>
      </c>
      <c r="B30" s="360" t="s">
        <v>258</v>
      </c>
      <c r="C30" s="361" t="s">
        <v>259</v>
      </c>
      <c r="D30" s="355"/>
      <c r="E30" s="360" t="s">
        <v>322</v>
      </c>
      <c r="F30" s="362" t="s">
        <v>277</v>
      </c>
      <c r="I30" s="314"/>
    </row>
    <row r="31" spans="1:9" x14ac:dyDescent="0.2">
      <c r="A31" s="347">
        <v>27</v>
      </c>
      <c r="B31" s="360" t="s">
        <v>320</v>
      </c>
      <c r="C31" s="362" t="s">
        <v>321</v>
      </c>
      <c r="D31" s="355"/>
      <c r="E31" s="360" t="s">
        <v>323</v>
      </c>
      <c r="F31" s="362" t="s">
        <v>270</v>
      </c>
    </row>
    <row r="32" spans="1:9" x14ac:dyDescent="0.2">
      <c r="A32" s="347">
        <v>28</v>
      </c>
      <c r="B32" s="360" t="s">
        <v>317</v>
      </c>
      <c r="C32" s="372" t="s">
        <v>261</v>
      </c>
      <c r="D32" s="355"/>
      <c r="E32" s="360" t="s">
        <v>268</v>
      </c>
      <c r="F32" s="361" t="s">
        <v>269</v>
      </c>
    </row>
    <row r="33" spans="1:6" x14ac:dyDescent="0.2">
      <c r="A33" s="347">
        <v>29</v>
      </c>
      <c r="B33" s="360" t="s">
        <v>262</v>
      </c>
      <c r="C33" s="362" t="s">
        <v>263</v>
      </c>
      <c r="D33" s="355"/>
      <c r="E33" s="360" t="s">
        <v>258</v>
      </c>
      <c r="F33" s="361" t="s">
        <v>259</v>
      </c>
    </row>
    <row r="34" spans="1:6" x14ac:dyDescent="0.2">
      <c r="A34" s="347">
        <v>30</v>
      </c>
      <c r="B34" s="360" t="s">
        <v>264</v>
      </c>
      <c r="C34" s="361" t="s">
        <v>265</v>
      </c>
      <c r="D34" s="355"/>
      <c r="E34" s="360" t="s">
        <v>240</v>
      </c>
      <c r="F34" s="361" t="s">
        <v>241</v>
      </c>
    </row>
    <row r="35" spans="1:6" x14ac:dyDescent="0.2">
      <c r="A35" s="347">
        <v>31</v>
      </c>
      <c r="B35" s="360" t="s">
        <v>266</v>
      </c>
      <c r="C35" s="361" t="s">
        <v>267</v>
      </c>
      <c r="D35" s="355"/>
      <c r="E35" s="360">
        <v>4111</v>
      </c>
      <c r="F35" s="361" t="s">
        <v>287</v>
      </c>
    </row>
    <row r="36" spans="1:6" x14ac:dyDescent="0.2">
      <c r="A36" s="347">
        <v>32</v>
      </c>
      <c r="B36" s="360" t="s">
        <v>268</v>
      </c>
      <c r="C36" s="361" t="s">
        <v>269</v>
      </c>
      <c r="D36" s="355"/>
      <c r="E36" s="360">
        <v>3362</v>
      </c>
      <c r="F36" s="361" t="s">
        <v>314</v>
      </c>
    </row>
    <row r="37" spans="1:6" x14ac:dyDescent="0.2">
      <c r="A37" s="347">
        <v>33</v>
      </c>
      <c r="B37" s="360" t="s">
        <v>323</v>
      </c>
      <c r="C37" s="362" t="s">
        <v>270</v>
      </c>
      <c r="D37" s="355"/>
      <c r="E37" s="360" t="s">
        <v>254</v>
      </c>
      <c r="F37" s="362" t="s">
        <v>255</v>
      </c>
    </row>
    <row r="38" spans="1:6" x14ac:dyDescent="0.2">
      <c r="A38" s="347">
        <v>34</v>
      </c>
      <c r="B38" s="360" t="s">
        <v>324</v>
      </c>
      <c r="C38" s="372" t="s">
        <v>271</v>
      </c>
      <c r="D38" s="355"/>
      <c r="E38" s="360" t="s">
        <v>326</v>
      </c>
      <c r="F38" s="362" t="s">
        <v>276</v>
      </c>
    </row>
    <row r="39" spans="1:6" x14ac:dyDescent="0.2">
      <c r="A39" s="347">
        <v>35</v>
      </c>
      <c r="B39" s="360" t="s">
        <v>325</v>
      </c>
      <c r="C39" s="361" t="s">
        <v>272</v>
      </c>
      <c r="D39" s="355"/>
      <c r="E39" s="360" t="s">
        <v>325</v>
      </c>
      <c r="F39" s="361" t="s">
        <v>272</v>
      </c>
    </row>
    <row r="40" spans="1:6" x14ac:dyDescent="0.2">
      <c r="A40" s="347">
        <v>36</v>
      </c>
      <c r="B40" s="360" t="s">
        <v>308</v>
      </c>
      <c r="C40" s="362" t="s">
        <v>273</v>
      </c>
      <c r="D40" s="355"/>
      <c r="E40" s="360" t="s">
        <v>324</v>
      </c>
      <c r="F40" s="372" t="s">
        <v>271</v>
      </c>
    </row>
    <row r="41" spans="1:6" x14ac:dyDescent="0.2">
      <c r="A41" s="347">
        <v>37</v>
      </c>
      <c r="B41" s="360" t="s">
        <v>315</v>
      </c>
      <c r="C41" s="361" t="s">
        <v>274</v>
      </c>
      <c r="D41" s="355"/>
      <c r="E41" s="360" t="s">
        <v>244</v>
      </c>
      <c r="F41" s="361" t="s">
        <v>316</v>
      </c>
    </row>
    <row r="42" spans="1:6" x14ac:dyDescent="0.2">
      <c r="A42" s="347">
        <v>38</v>
      </c>
      <c r="B42" s="360">
        <v>4031</v>
      </c>
      <c r="C42" s="362" t="s">
        <v>275</v>
      </c>
      <c r="D42" s="355"/>
      <c r="E42" s="360">
        <v>4091</v>
      </c>
      <c r="F42" s="361" t="s">
        <v>283</v>
      </c>
    </row>
    <row r="43" spans="1:6" x14ac:dyDescent="0.2">
      <c r="A43" s="347">
        <v>39</v>
      </c>
      <c r="B43" s="360" t="s">
        <v>326</v>
      </c>
      <c r="C43" s="362" t="s">
        <v>276</v>
      </c>
      <c r="D43" s="355"/>
      <c r="E43" s="360">
        <v>4031</v>
      </c>
      <c r="F43" s="362" t="s">
        <v>275</v>
      </c>
    </row>
    <row r="44" spans="1:6" x14ac:dyDescent="0.2">
      <c r="A44" s="347">
        <v>40</v>
      </c>
      <c r="B44" s="360" t="s">
        <v>322</v>
      </c>
      <c r="C44" s="362" t="s">
        <v>277</v>
      </c>
      <c r="D44" s="355"/>
      <c r="E44" s="373" t="s">
        <v>327</v>
      </c>
      <c r="F44" s="362" t="s">
        <v>288</v>
      </c>
    </row>
    <row r="45" spans="1:6" x14ac:dyDescent="0.2">
      <c r="A45" s="347">
        <v>41</v>
      </c>
      <c r="B45" s="360" t="s">
        <v>319</v>
      </c>
      <c r="C45" s="362" t="s">
        <v>278</v>
      </c>
      <c r="D45" s="355"/>
      <c r="E45" s="360" t="s">
        <v>218</v>
      </c>
      <c r="F45" s="361" t="s">
        <v>219</v>
      </c>
    </row>
    <row r="46" spans="1:6" x14ac:dyDescent="0.2">
      <c r="A46" s="347">
        <v>42</v>
      </c>
      <c r="B46" s="360" t="s">
        <v>309</v>
      </c>
      <c r="C46" s="362" t="s">
        <v>279</v>
      </c>
      <c r="D46" s="355"/>
      <c r="E46" s="360" t="s">
        <v>320</v>
      </c>
      <c r="F46" s="362" t="s">
        <v>321</v>
      </c>
    </row>
    <row r="47" spans="1:6" x14ac:dyDescent="0.2">
      <c r="A47" s="347">
        <v>43</v>
      </c>
      <c r="B47" s="360" t="s">
        <v>328</v>
      </c>
      <c r="C47" s="362" t="s">
        <v>329</v>
      </c>
      <c r="D47" s="355"/>
      <c r="E47" s="360">
        <v>4090</v>
      </c>
      <c r="F47" s="361" t="s">
        <v>330</v>
      </c>
    </row>
    <row r="48" spans="1:6" x14ac:dyDescent="0.2">
      <c r="A48" s="347">
        <v>44</v>
      </c>
      <c r="B48" s="374" t="s">
        <v>307</v>
      </c>
      <c r="C48" s="309" t="s">
        <v>281</v>
      </c>
      <c r="D48" s="355"/>
      <c r="E48" s="360" t="s">
        <v>331</v>
      </c>
      <c r="F48" s="361" t="s">
        <v>332</v>
      </c>
    </row>
    <row r="49" spans="1:6" x14ac:dyDescent="0.2">
      <c r="A49" s="347">
        <v>45</v>
      </c>
      <c r="B49" s="374">
        <v>4090</v>
      </c>
      <c r="C49" s="309" t="s">
        <v>330</v>
      </c>
      <c r="D49" s="355"/>
      <c r="E49" s="360" t="s">
        <v>232</v>
      </c>
      <c r="F49" s="362" t="s">
        <v>311</v>
      </c>
    </row>
    <row r="50" spans="1:6" x14ac:dyDescent="0.2">
      <c r="A50" s="347">
        <v>46</v>
      </c>
      <c r="B50" s="374">
        <v>4091</v>
      </c>
      <c r="C50" s="309" t="s">
        <v>283</v>
      </c>
      <c r="D50" s="355"/>
      <c r="E50" s="360" t="s">
        <v>214</v>
      </c>
      <c r="F50" s="361" t="s">
        <v>333</v>
      </c>
    </row>
    <row r="51" spans="1:6" x14ac:dyDescent="0.2">
      <c r="A51" s="347">
        <v>47</v>
      </c>
      <c r="B51" s="360" t="s">
        <v>301</v>
      </c>
      <c r="C51" s="362" t="s">
        <v>302</v>
      </c>
      <c r="D51" s="355"/>
      <c r="E51" s="360" t="s">
        <v>224</v>
      </c>
      <c r="F51" s="362" t="s">
        <v>306</v>
      </c>
    </row>
    <row r="52" spans="1:6" x14ac:dyDescent="0.2">
      <c r="A52" s="347">
        <v>48</v>
      </c>
      <c r="B52" s="360" t="s">
        <v>299</v>
      </c>
      <c r="C52" s="362" t="s">
        <v>300</v>
      </c>
      <c r="D52" s="355"/>
      <c r="E52" s="360" t="s">
        <v>328</v>
      </c>
      <c r="F52" s="362" t="s">
        <v>329</v>
      </c>
    </row>
    <row r="53" spans="1:6" x14ac:dyDescent="0.2">
      <c r="A53" s="347">
        <v>49</v>
      </c>
      <c r="B53" s="360" t="s">
        <v>331</v>
      </c>
      <c r="C53" s="375" t="s">
        <v>332</v>
      </c>
      <c r="D53" s="355"/>
      <c r="E53" s="360" t="s">
        <v>228</v>
      </c>
      <c r="F53" s="361" t="s">
        <v>229</v>
      </c>
    </row>
    <row r="54" spans="1:6" x14ac:dyDescent="0.2">
      <c r="A54" s="347">
        <v>50</v>
      </c>
      <c r="B54" s="360">
        <v>4111</v>
      </c>
      <c r="C54" s="362" t="s">
        <v>287</v>
      </c>
      <c r="D54" s="355"/>
      <c r="E54" s="373" t="s">
        <v>256</v>
      </c>
      <c r="F54" s="362" t="s">
        <v>257</v>
      </c>
    </row>
    <row r="55" spans="1:6" x14ac:dyDescent="0.2">
      <c r="A55" s="347"/>
      <c r="B55" s="360" t="s">
        <v>327</v>
      </c>
      <c r="C55" s="362" t="s">
        <v>288</v>
      </c>
      <c r="D55" s="355"/>
      <c r="E55" s="312" t="s">
        <v>556</v>
      </c>
      <c r="F55" s="309" t="s">
        <v>559</v>
      </c>
    </row>
    <row r="56" spans="1:6" x14ac:dyDescent="0.2">
      <c r="D56" s="35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topLeftCell="A47" workbookViewId="0">
      <selection activeCell="K57" sqref="K57"/>
    </sheetView>
  </sheetViews>
  <sheetFormatPr defaultColWidth="9.140625" defaultRowHeight="15" x14ac:dyDescent="0.25"/>
  <cols>
    <col min="1" max="1" width="9.140625" style="528"/>
    <col min="2" max="2" width="11.5703125" style="527" bestFit="1" customWidth="1"/>
    <col min="3" max="3" width="37.140625" style="528" customWidth="1"/>
    <col min="4" max="4" width="16.28515625" style="529" bestFit="1" customWidth="1"/>
    <col min="5" max="5" width="15.140625" style="529" bestFit="1" customWidth="1"/>
    <col min="6" max="7" width="15.140625" style="528" bestFit="1" customWidth="1"/>
    <col min="8" max="8" width="15" style="528" bestFit="1" customWidth="1"/>
    <col min="9" max="9" width="14.28515625" style="528" bestFit="1" customWidth="1"/>
    <col min="10" max="10" width="16.85546875" style="528" bestFit="1" customWidth="1"/>
    <col min="11" max="11" width="14.140625" style="530" customWidth="1"/>
    <col min="12" max="15" width="14" style="528" bestFit="1" customWidth="1"/>
    <col min="16" max="16" width="14" style="531" bestFit="1" customWidth="1"/>
    <col min="17" max="18" width="15.28515625" style="528" bestFit="1" customWidth="1"/>
    <col min="19" max="16384" width="9.140625" style="528"/>
  </cols>
  <sheetData>
    <row r="1" spans="1:18" x14ac:dyDescent="0.25">
      <c r="A1" s="526" t="s">
        <v>415</v>
      </c>
    </row>
    <row r="2" spans="1:18" x14ac:dyDescent="0.25">
      <c r="C2" s="532"/>
      <c r="D2" s="533"/>
      <c r="E2" s="533"/>
      <c r="F2" s="532"/>
      <c r="G2" s="532"/>
    </row>
    <row r="4" spans="1:18" s="534" customFormat="1" ht="45" x14ac:dyDescent="0.25">
      <c r="A4" s="534" t="s">
        <v>52</v>
      </c>
      <c r="B4" s="535" t="s">
        <v>52</v>
      </c>
      <c r="C4" s="534" t="s">
        <v>52</v>
      </c>
      <c r="D4" s="536" t="s">
        <v>204</v>
      </c>
      <c r="E4" s="536" t="s">
        <v>416</v>
      </c>
      <c r="F4" s="535" t="s">
        <v>417</v>
      </c>
      <c r="G4" s="535" t="s">
        <v>418</v>
      </c>
      <c r="H4" s="535" t="s">
        <v>419</v>
      </c>
      <c r="I4" s="535" t="s">
        <v>420</v>
      </c>
      <c r="J4" s="535" t="s">
        <v>421</v>
      </c>
      <c r="K4" s="537" t="s">
        <v>422</v>
      </c>
      <c r="L4" s="535" t="s">
        <v>423</v>
      </c>
      <c r="M4" s="535" t="s">
        <v>424</v>
      </c>
      <c r="N4" s="535" t="s">
        <v>425</v>
      </c>
      <c r="O4" s="535" t="s">
        <v>426</v>
      </c>
      <c r="P4" s="538" t="s">
        <v>427</v>
      </c>
      <c r="Q4" s="535" t="s">
        <v>125</v>
      </c>
      <c r="R4" s="539" t="s">
        <v>428</v>
      </c>
    </row>
    <row r="5" spans="1:18" s="534" customFormat="1" x14ac:dyDescent="0.25">
      <c r="A5" s="528">
        <v>1</v>
      </c>
      <c r="B5" s="540" t="s">
        <v>212</v>
      </c>
      <c r="C5" s="528" t="s">
        <v>213</v>
      </c>
      <c r="D5" s="541">
        <v>295040.42</v>
      </c>
      <c r="E5" s="541">
        <v>24451.48</v>
      </c>
      <c r="F5" s="542">
        <v>24870.66</v>
      </c>
      <c r="G5" s="588">
        <v>24870.66</v>
      </c>
      <c r="H5" s="542">
        <v>24538.62</v>
      </c>
      <c r="I5" s="542">
        <v>24538.63</v>
      </c>
      <c r="J5" s="542">
        <v>24538.62</v>
      </c>
      <c r="K5" s="543">
        <v>24538.63</v>
      </c>
      <c r="L5" s="543"/>
      <c r="M5" s="543"/>
      <c r="N5" s="542"/>
      <c r="O5" s="542"/>
      <c r="P5" s="542"/>
      <c r="Q5" s="544">
        <f>SUM(E5:P5)</f>
        <v>172347.30000000002</v>
      </c>
      <c r="R5" s="544">
        <v>0</v>
      </c>
    </row>
    <row r="6" spans="1:18" s="534" customFormat="1" x14ac:dyDescent="0.25">
      <c r="A6" s="528">
        <v>2</v>
      </c>
      <c r="B6" s="540" t="s">
        <v>556</v>
      </c>
      <c r="C6" s="528" t="s">
        <v>557</v>
      </c>
      <c r="D6" s="541">
        <v>390083.78</v>
      </c>
      <c r="E6" s="541"/>
      <c r="F6" s="542"/>
      <c r="G6" s="588"/>
      <c r="H6" s="542">
        <v>43342.64</v>
      </c>
      <c r="I6" s="542">
        <v>43342.64</v>
      </c>
      <c r="J6" s="542">
        <v>43342.64</v>
      </c>
      <c r="K6" s="543">
        <v>43342.64</v>
      </c>
      <c r="L6" s="543"/>
      <c r="M6" s="543"/>
      <c r="N6" s="542"/>
      <c r="O6" s="542"/>
      <c r="P6" s="542"/>
      <c r="Q6" s="544"/>
      <c r="R6" s="544"/>
    </row>
    <row r="7" spans="1:18" s="534" customFormat="1" x14ac:dyDescent="0.25">
      <c r="A7" s="528">
        <v>3</v>
      </c>
      <c r="B7" s="540" t="s">
        <v>214</v>
      </c>
      <c r="C7" s="528" t="s">
        <v>215</v>
      </c>
      <c r="D7" s="541">
        <v>307339.19000000006</v>
      </c>
      <c r="E7" s="541">
        <v>22293.06</v>
      </c>
      <c r="F7" s="542">
        <v>22269.68</v>
      </c>
      <c r="G7" s="588">
        <v>22269.68</v>
      </c>
      <c r="H7" s="542">
        <v>26670.77</v>
      </c>
      <c r="I7" s="542">
        <v>26670.78</v>
      </c>
      <c r="J7" s="542">
        <v>26737.89</v>
      </c>
      <c r="K7" s="543">
        <v>28707.39</v>
      </c>
      <c r="L7" s="543"/>
      <c r="M7" s="543"/>
      <c r="N7" s="542"/>
      <c r="O7" s="542"/>
      <c r="P7" s="542"/>
      <c r="Q7" s="544">
        <f t="shared" ref="Q7:Q55" si="0">SUM(E7:P7)</f>
        <v>175619.25</v>
      </c>
      <c r="R7" s="544">
        <v>0</v>
      </c>
    </row>
    <row r="8" spans="1:18" x14ac:dyDescent="0.25">
      <c r="A8" s="528">
        <v>4</v>
      </c>
      <c r="B8" s="527" t="s">
        <v>216</v>
      </c>
      <c r="C8" s="528" t="s">
        <v>217</v>
      </c>
      <c r="D8" s="529">
        <v>7591209.8999999994</v>
      </c>
      <c r="E8" s="545">
        <v>485398.34</v>
      </c>
      <c r="F8" s="546">
        <v>492757.49</v>
      </c>
      <c r="G8" s="547">
        <v>662254.39</v>
      </c>
      <c r="H8" s="548">
        <v>675822.09</v>
      </c>
      <c r="I8" s="547">
        <v>659372.19999999995</v>
      </c>
      <c r="J8" s="542">
        <v>659372.19999999995</v>
      </c>
      <c r="K8" s="549">
        <v>659372.19999999995</v>
      </c>
      <c r="L8" s="549"/>
      <c r="M8" s="550"/>
      <c r="N8" s="544"/>
      <c r="O8" s="531"/>
      <c r="Q8" s="544">
        <f t="shared" si="0"/>
        <v>4294348.91</v>
      </c>
      <c r="R8" s="544">
        <v>0</v>
      </c>
    </row>
    <row r="9" spans="1:18" x14ac:dyDescent="0.25">
      <c r="A9" s="528">
        <v>5</v>
      </c>
      <c r="B9" s="527" t="s">
        <v>218</v>
      </c>
      <c r="C9" s="528" t="s">
        <v>219</v>
      </c>
      <c r="D9" s="529">
        <v>10227460.879999999</v>
      </c>
      <c r="E9" s="551">
        <v>795164.86</v>
      </c>
      <c r="F9" s="546">
        <v>808415.92</v>
      </c>
      <c r="G9" s="547">
        <v>876352.53</v>
      </c>
      <c r="H9" s="548">
        <v>860836.4</v>
      </c>
      <c r="I9" s="547">
        <v>860836.4</v>
      </c>
      <c r="J9" s="542">
        <v>860836.4</v>
      </c>
      <c r="K9" s="549">
        <v>860836.4</v>
      </c>
      <c r="L9" s="549"/>
      <c r="M9" s="550"/>
      <c r="N9" s="544"/>
      <c r="O9" s="531"/>
      <c r="Q9" s="544">
        <f t="shared" si="0"/>
        <v>5923278.9100000011</v>
      </c>
      <c r="R9" s="544">
        <v>0</v>
      </c>
    </row>
    <row r="10" spans="1:18" x14ac:dyDescent="0.25">
      <c r="A10" s="528">
        <v>6</v>
      </c>
      <c r="B10" s="527" t="s">
        <v>220</v>
      </c>
      <c r="C10" s="528" t="s">
        <v>221</v>
      </c>
      <c r="D10" s="529">
        <v>1324499.19</v>
      </c>
      <c r="E10" s="551">
        <v>112200.54</v>
      </c>
      <c r="F10" s="546">
        <v>112562.16</v>
      </c>
      <c r="G10" s="547">
        <v>112694.39999999999</v>
      </c>
      <c r="H10" s="548">
        <v>109553.39</v>
      </c>
      <c r="I10" s="547">
        <v>109553.39</v>
      </c>
      <c r="J10" s="542">
        <v>109705.04</v>
      </c>
      <c r="K10" s="549">
        <v>109705.05</v>
      </c>
      <c r="L10" s="549"/>
      <c r="M10" s="550"/>
      <c r="N10" s="544"/>
      <c r="O10" s="531"/>
      <c r="Q10" s="544">
        <f t="shared" si="0"/>
        <v>775973.97000000009</v>
      </c>
      <c r="R10" s="544">
        <v>0</v>
      </c>
    </row>
    <row r="11" spans="1:18" x14ac:dyDescent="0.25">
      <c r="A11" s="528">
        <v>7</v>
      </c>
      <c r="B11" s="552" t="s">
        <v>222</v>
      </c>
      <c r="C11" s="553" t="s">
        <v>223</v>
      </c>
      <c r="D11" s="545">
        <v>1625637.08</v>
      </c>
      <c r="E11" s="551">
        <v>128465.38</v>
      </c>
      <c r="F11" s="546">
        <v>132295.12</v>
      </c>
      <c r="G11" s="554">
        <v>132295.12</v>
      </c>
      <c r="H11" s="548">
        <v>136643.49</v>
      </c>
      <c r="I11" s="547">
        <v>136643.49</v>
      </c>
      <c r="J11" s="542">
        <v>137042.07</v>
      </c>
      <c r="K11" s="549">
        <v>136859.32</v>
      </c>
      <c r="L11" s="549"/>
      <c r="M11" s="550"/>
      <c r="N11" s="544"/>
      <c r="O11" s="531"/>
      <c r="Q11" s="544">
        <f t="shared" si="0"/>
        <v>940243.99</v>
      </c>
      <c r="R11" s="544">
        <v>0</v>
      </c>
    </row>
    <row r="12" spans="1:18" x14ac:dyDescent="0.25">
      <c r="A12" s="528">
        <v>8</v>
      </c>
      <c r="B12" s="527" t="s">
        <v>224</v>
      </c>
      <c r="C12" s="528" t="s">
        <v>225</v>
      </c>
      <c r="D12" s="529">
        <v>5431946.8399999999</v>
      </c>
      <c r="E12" s="551">
        <v>440248.86</v>
      </c>
      <c r="F12" s="546">
        <v>446019.94</v>
      </c>
      <c r="G12" s="547">
        <v>446019.95</v>
      </c>
      <c r="H12" s="548">
        <v>454340.22</v>
      </c>
      <c r="I12" s="547">
        <v>454340.22</v>
      </c>
      <c r="J12" s="542">
        <v>455853.95</v>
      </c>
      <c r="K12" s="549">
        <v>455853.95</v>
      </c>
      <c r="L12" s="549"/>
      <c r="M12" s="550"/>
      <c r="N12" s="544"/>
      <c r="O12" s="531"/>
      <c r="Q12" s="544">
        <f t="shared" si="0"/>
        <v>3152677.0900000003</v>
      </c>
      <c r="R12" s="544">
        <v>0</v>
      </c>
    </row>
    <row r="13" spans="1:18" x14ac:dyDescent="0.25">
      <c r="A13" s="528">
        <v>9</v>
      </c>
      <c r="B13" s="527" t="s">
        <v>226</v>
      </c>
      <c r="C13" s="528" t="s">
        <v>227</v>
      </c>
      <c r="D13" s="529">
        <v>5282282.2299999995</v>
      </c>
      <c r="E13" s="551">
        <v>433777.9</v>
      </c>
      <c r="F13" s="546">
        <v>438326.62</v>
      </c>
      <c r="G13" s="547">
        <v>438326.62</v>
      </c>
      <c r="H13" s="548">
        <v>441316.79</v>
      </c>
      <c r="I13" s="547">
        <v>441316.79</v>
      </c>
      <c r="J13" s="542">
        <v>441316.79</v>
      </c>
      <c r="K13" s="549">
        <v>441316.79</v>
      </c>
      <c r="L13" s="549"/>
      <c r="M13" s="550"/>
      <c r="N13" s="544"/>
      <c r="O13" s="531"/>
      <c r="Q13" s="544">
        <f t="shared" si="0"/>
        <v>3075698.3000000003</v>
      </c>
      <c r="R13" s="544">
        <v>0</v>
      </c>
    </row>
    <row r="14" spans="1:18" x14ac:dyDescent="0.25">
      <c r="A14" s="528">
        <v>10</v>
      </c>
      <c r="B14" s="527" t="s">
        <v>228</v>
      </c>
      <c r="C14" s="528" t="s">
        <v>229</v>
      </c>
      <c r="D14" s="529">
        <v>6138937.6700000009</v>
      </c>
      <c r="E14" s="551">
        <v>505265.93</v>
      </c>
      <c r="F14" s="546">
        <v>513425.85</v>
      </c>
      <c r="G14" s="547">
        <v>513425.85</v>
      </c>
      <c r="H14" s="548">
        <v>511868.89</v>
      </c>
      <c r="I14" s="547">
        <v>511868.89</v>
      </c>
      <c r="J14" s="542">
        <v>511868.89</v>
      </c>
      <c r="K14" s="549">
        <v>511868.9</v>
      </c>
      <c r="L14" s="549"/>
      <c r="M14" s="550"/>
      <c r="N14" s="544"/>
      <c r="O14" s="531"/>
      <c r="Q14" s="544">
        <f t="shared" si="0"/>
        <v>3579593.2</v>
      </c>
      <c r="R14" s="544">
        <v>0</v>
      </c>
    </row>
    <row r="15" spans="1:18" x14ac:dyDescent="0.25">
      <c r="A15" s="528">
        <v>11</v>
      </c>
      <c r="B15" s="527" t="s">
        <v>230</v>
      </c>
      <c r="C15" s="528" t="s">
        <v>231</v>
      </c>
      <c r="D15" s="529">
        <v>10626280.41</v>
      </c>
      <c r="E15" s="551">
        <v>858865.25</v>
      </c>
      <c r="F15" s="546">
        <v>869504.11</v>
      </c>
      <c r="G15" s="547">
        <v>869504.11</v>
      </c>
      <c r="H15" s="548">
        <v>890806.34</v>
      </c>
      <c r="I15" s="547">
        <v>890806.34</v>
      </c>
      <c r="J15" s="542">
        <v>892399.18</v>
      </c>
      <c r="K15" s="549">
        <v>892467.27</v>
      </c>
      <c r="L15" s="549"/>
      <c r="M15" s="550"/>
      <c r="N15" s="544"/>
      <c r="O15" s="531"/>
      <c r="Q15" s="544">
        <f t="shared" si="0"/>
        <v>6164352.5999999996</v>
      </c>
      <c r="R15" s="544">
        <v>0</v>
      </c>
    </row>
    <row r="16" spans="1:18" x14ac:dyDescent="0.25">
      <c r="A16" s="528">
        <v>12</v>
      </c>
      <c r="B16" s="527" t="s">
        <v>232</v>
      </c>
      <c r="C16" s="528" t="s">
        <v>233</v>
      </c>
      <c r="D16" s="529">
        <v>6033817.5800000001</v>
      </c>
      <c r="E16" s="551">
        <v>484859.99</v>
      </c>
      <c r="F16" s="546">
        <v>497059.68</v>
      </c>
      <c r="G16" s="547">
        <v>497059.68</v>
      </c>
      <c r="H16" s="548">
        <v>504701.18</v>
      </c>
      <c r="I16" s="547">
        <v>504701.18</v>
      </c>
      <c r="J16" s="542">
        <v>506490.84</v>
      </c>
      <c r="K16" s="549">
        <v>505938.1</v>
      </c>
      <c r="L16" s="549"/>
      <c r="M16" s="550"/>
      <c r="N16" s="544"/>
      <c r="O16" s="531"/>
      <c r="Q16" s="544">
        <f t="shared" si="0"/>
        <v>3500810.65</v>
      </c>
      <c r="R16" s="544">
        <v>0</v>
      </c>
    </row>
    <row r="17" spans="1:18" x14ac:dyDescent="0.25">
      <c r="A17" s="528">
        <v>13</v>
      </c>
      <c r="B17" s="527" t="s">
        <v>234</v>
      </c>
      <c r="C17" s="528" t="s">
        <v>235</v>
      </c>
      <c r="D17" s="529">
        <v>1115006.2100000002</v>
      </c>
      <c r="E17" s="551">
        <v>90419.86</v>
      </c>
      <c r="F17" s="546">
        <v>91364.55</v>
      </c>
      <c r="G17" s="547">
        <v>91364.55</v>
      </c>
      <c r="H17" s="548">
        <v>93532.75</v>
      </c>
      <c r="I17" s="547">
        <v>93532.75</v>
      </c>
      <c r="J17" s="542">
        <v>93541.68</v>
      </c>
      <c r="K17" s="549">
        <v>93541.68</v>
      </c>
      <c r="L17" s="549"/>
      <c r="M17" s="550"/>
      <c r="N17" s="544"/>
      <c r="O17" s="531"/>
      <c r="Q17" s="544">
        <f t="shared" si="0"/>
        <v>647297.82000000007</v>
      </c>
      <c r="R17" s="544">
        <v>0</v>
      </c>
    </row>
    <row r="18" spans="1:18" x14ac:dyDescent="0.25">
      <c r="A18" s="528">
        <v>14</v>
      </c>
      <c r="B18" s="527">
        <v>3362</v>
      </c>
      <c r="C18" s="528" t="s">
        <v>314</v>
      </c>
      <c r="D18" s="529">
        <v>1373336.9900000002</v>
      </c>
      <c r="E18" s="551"/>
      <c r="F18" s="546"/>
      <c r="G18" s="547"/>
      <c r="H18" s="548">
        <v>152593</v>
      </c>
      <c r="I18" s="547">
        <v>152593</v>
      </c>
      <c r="J18" s="542">
        <v>152593</v>
      </c>
      <c r="K18" s="549">
        <v>152593</v>
      </c>
      <c r="L18" s="549"/>
      <c r="M18" s="550"/>
      <c r="N18" s="544"/>
      <c r="O18" s="531"/>
      <c r="Q18" s="544">
        <f t="shared" si="0"/>
        <v>610372</v>
      </c>
      <c r="R18" s="544"/>
    </row>
    <row r="19" spans="1:18" x14ac:dyDescent="0.25">
      <c r="A19" s="528">
        <v>15</v>
      </c>
      <c r="B19" s="527" t="s">
        <v>236</v>
      </c>
      <c r="C19" s="528" t="s">
        <v>237</v>
      </c>
      <c r="D19" s="529">
        <v>9169658.1799999997</v>
      </c>
      <c r="E19" s="551">
        <v>750894</v>
      </c>
      <c r="F19" s="546">
        <v>762872.3</v>
      </c>
      <c r="G19" s="547">
        <v>762872.3</v>
      </c>
      <c r="H19" s="548">
        <v>765891.06</v>
      </c>
      <c r="I19" s="547">
        <v>765891.07</v>
      </c>
      <c r="J19" s="542">
        <v>765891.06</v>
      </c>
      <c r="K19" s="549">
        <v>765891.07</v>
      </c>
      <c r="L19" s="549"/>
      <c r="M19" s="550"/>
      <c r="N19" s="544"/>
      <c r="O19" s="531"/>
      <c r="Q19" s="544">
        <f t="shared" si="0"/>
        <v>5340202.8600000003</v>
      </c>
      <c r="R19" s="544">
        <v>0</v>
      </c>
    </row>
    <row r="20" spans="1:18" x14ac:dyDescent="0.25">
      <c r="A20" s="528">
        <v>16</v>
      </c>
      <c r="B20" s="527" t="s">
        <v>238</v>
      </c>
      <c r="C20" s="528" t="s">
        <v>239</v>
      </c>
      <c r="D20" s="529">
        <v>2395140.71</v>
      </c>
      <c r="E20" s="551">
        <v>199480.37</v>
      </c>
      <c r="F20" s="546">
        <v>202508.28</v>
      </c>
      <c r="G20" s="547">
        <v>202508.28</v>
      </c>
      <c r="H20" s="548">
        <v>198960.42</v>
      </c>
      <c r="I20" s="547">
        <v>198960.42</v>
      </c>
      <c r="J20" s="542">
        <v>198960.42</v>
      </c>
      <c r="K20" s="549">
        <v>198960.42</v>
      </c>
      <c r="L20" s="549"/>
      <c r="M20" s="550"/>
      <c r="N20" s="544"/>
      <c r="O20" s="531"/>
      <c r="Q20" s="544">
        <f t="shared" si="0"/>
        <v>1400338.61</v>
      </c>
      <c r="R20" s="544">
        <v>0</v>
      </c>
    </row>
    <row r="21" spans="1:18" x14ac:dyDescent="0.25">
      <c r="A21" s="528">
        <v>17</v>
      </c>
      <c r="B21" s="555" t="s">
        <v>240</v>
      </c>
      <c r="C21" s="556" t="s">
        <v>241</v>
      </c>
      <c r="D21" s="557"/>
      <c r="E21" s="551"/>
      <c r="F21" s="558">
        <v>0</v>
      </c>
      <c r="G21" s="554"/>
      <c r="H21" s="548"/>
      <c r="I21" s="547"/>
      <c r="J21" s="542"/>
      <c r="K21" s="549"/>
      <c r="L21" s="549"/>
      <c r="M21" s="550"/>
      <c r="N21" s="544"/>
      <c r="O21" s="531"/>
      <c r="Q21" s="544">
        <f t="shared" si="0"/>
        <v>0</v>
      </c>
      <c r="R21" s="544">
        <v>0</v>
      </c>
    </row>
    <row r="22" spans="1:18" x14ac:dyDescent="0.25">
      <c r="A22" s="528">
        <v>18</v>
      </c>
      <c r="B22" s="527" t="s">
        <v>242</v>
      </c>
      <c r="C22" s="528" t="s">
        <v>243</v>
      </c>
      <c r="D22" s="529">
        <v>1641840.7400000005</v>
      </c>
      <c r="E22" s="551">
        <v>136646.84</v>
      </c>
      <c r="F22" s="546">
        <v>137857.37</v>
      </c>
      <c r="G22" s="547">
        <v>137857.37</v>
      </c>
      <c r="H22" s="548">
        <v>136608.79999999999</v>
      </c>
      <c r="I22" s="547">
        <v>136608.79999999999</v>
      </c>
      <c r="J22" s="542">
        <v>136608.79</v>
      </c>
      <c r="K22" s="549">
        <v>136608.79999999999</v>
      </c>
      <c r="L22" s="549"/>
      <c r="M22" s="550"/>
      <c r="N22" s="544"/>
      <c r="O22" s="531"/>
      <c r="Q22" s="544">
        <f t="shared" si="0"/>
        <v>958796.77</v>
      </c>
      <c r="R22" s="544">
        <v>0</v>
      </c>
    </row>
    <row r="23" spans="1:18" x14ac:dyDescent="0.25">
      <c r="A23" s="528">
        <v>19</v>
      </c>
      <c r="B23" s="527" t="s">
        <v>244</v>
      </c>
      <c r="C23" s="528" t="s">
        <v>245</v>
      </c>
      <c r="D23" s="529">
        <v>4401365.6500000004</v>
      </c>
      <c r="E23" s="551">
        <v>363962.87</v>
      </c>
      <c r="F23" s="546">
        <v>368541.43</v>
      </c>
      <c r="G23" s="547">
        <v>368541.43</v>
      </c>
      <c r="H23" s="548">
        <v>366702.21</v>
      </c>
      <c r="I23" s="547">
        <v>366702.21</v>
      </c>
      <c r="J23" s="542">
        <v>366702.21</v>
      </c>
      <c r="K23" s="549">
        <v>366702.22</v>
      </c>
      <c r="L23" s="549"/>
      <c r="M23" s="550"/>
      <c r="N23" s="544"/>
      <c r="O23" s="531"/>
      <c r="Q23" s="544">
        <f t="shared" si="0"/>
        <v>2567854.58</v>
      </c>
      <c r="R23" s="544">
        <v>0</v>
      </c>
    </row>
    <row r="24" spans="1:18" x14ac:dyDescent="0.25">
      <c r="A24" s="528">
        <v>20</v>
      </c>
      <c r="B24" s="527" t="s">
        <v>246</v>
      </c>
      <c r="C24" s="528" t="s">
        <v>247</v>
      </c>
      <c r="D24" s="529">
        <v>6225768.6500000004</v>
      </c>
      <c r="E24" s="551">
        <v>481353.82</v>
      </c>
      <c r="F24" s="546">
        <v>489623.72</v>
      </c>
      <c r="G24" s="547">
        <v>533385.66</v>
      </c>
      <c r="H24" s="548">
        <v>524600.61</v>
      </c>
      <c r="I24" s="547">
        <v>524600.61</v>
      </c>
      <c r="J24" s="542">
        <v>524600.6</v>
      </c>
      <c r="K24" s="549">
        <v>524600.61</v>
      </c>
      <c r="L24" s="549"/>
      <c r="M24" s="550"/>
      <c r="N24" s="544"/>
      <c r="O24" s="531"/>
      <c r="Q24" s="544">
        <f t="shared" si="0"/>
        <v>3602765.63</v>
      </c>
      <c r="R24" s="544">
        <v>0</v>
      </c>
    </row>
    <row r="25" spans="1:18" x14ac:dyDescent="0.25">
      <c r="A25" s="528">
        <v>21</v>
      </c>
      <c r="B25" s="527" t="s">
        <v>248</v>
      </c>
      <c r="C25" s="528" t="s">
        <v>249</v>
      </c>
      <c r="D25" s="529">
        <v>932463.44</v>
      </c>
      <c r="E25" s="551">
        <v>75370.149999999994</v>
      </c>
      <c r="F25" s="546">
        <v>76763.56</v>
      </c>
      <c r="G25" s="547">
        <v>76763.56</v>
      </c>
      <c r="H25" s="548">
        <v>78174.02</v>
      </c>
      <c r="I25" s="547">
        <v>78174.02</v>
      </c>
      <c r="J25" s="542">
        <v>78174.02</v>
      </c>
      <c r="K25" s="549">
        <v>78174.02</v>
      </c>
      <c r="L25" s="549"/>
      <c r="M25" s="550"/>
      <c r="N25" s="544"/>
      <c r="O25" s="531"/>
      <c r="Q25" s="544">
        <f t="shared" si="0"/>
        <v>541593.35</v>
      </c>
      <c r="R25" s="544">
        <v>0</v>
      </c>
    </row>
    <row r="26" spans="1:18" x14ac:dyDescent="0.25">
      <c r="A26" s="528">
        <v>22</v>
      </c>
      <c r="B26" s="527" t="s">
        <v>250</v>
      </c>
      <c r="C26" s="528" t="s">
        <v>251</v>
      </c>
      <c r="D26" s="529">
        <v>1182902.7299999997</v>
      </c>
      <c r="E26" s="551">
        <v>93540.76</v>
      </c>
      <c r="F26" s="546">
        <v>94458.1</v>
      </c>
      <c r="G26" s="547">
        <v>94458.1</v>
      </c>
      <c r="H26" s="548">
        <v>100055.2</v>
      </c>
      <c r="I26" s="547">
        <v>100055.2</v>
      </c>
      <c r="J26" s="542">
        <v>100047.91</v>
      </c>
      <c r="K26" s="549">
        <v>100047.91</v>
      </c>
      <c r="L26" s="549"/>
      <c r="M26" s="550"/>
      <c r="N26" s="544"/>
      <c r="O26" s="531"/>
      <c r="Q26" s="544">
        <f t="shared" si="0"/>
        <v>682663.18</v>
      </c>
      <c r="R26" s="544">
        <v>0</v>
      </c>
    </row>
    <row r="27" spans="1:18" x14ac:dyDescent="0.25">
      <c r="A27" s="528">
        <v>23</v>
      </c>
      <c r="B27" s="527" t="s">
        <v>252</v>
      </c>
      <c r="C27" s="528" t="s">
        <v>253</v>
      </c>
      <c r="D27" s="529">
        <v>3654980.43</v>
      </c>
      <c r="E27" s="551">
        <v>291401.55</v>
      </c>
      <c r="F27" s="546">
        <v>296284.59999999998</v>
      </c>
      <c r="G27" s="547">
        <v>298028.7</v>
      </c>
      <c r="H27" s="548">
        <v>307696.18</v>
      </c>
      <c r="I27" s="547">
        <v>307696.18</v>
      </c>
      <c r="J27" s="542">
        <v>307696.17</v>
      </c>
      <c r="K27" s="549">
        <v>307696.18</v>
      </c>
      <c r="L27" s="549"/>
      <c r="M27" s="550"/>
      <c r="N27" s="544"/>
      <c r="O27" s="531"/>
      <c r="Q27" s="544">
        <f t="shared" si="0"/>
        <v>2116499.5599999996</v>
      </c>
      <c r="R27" s="544">
        <v>0</v>
      </c>
    </row>
    <row r="28" spans="1:18" x14ac:dyDescent="0.25">
      <c r="A28" s="528">
        <v>24</v>
      </c>
      <c r="B28" s="527" t="s">
        <v>254</v>
      </c>
      <c r="C28" s="528" t="s">
        <v>255</v>
      </c>
      <c r="D28" s="529">
        <v>3440486.85</v>
      </c>
      <c r="E28" s="551">
        <v>282765.64</v>
      </c>
      <c r="F28" s="546">
        <v>286550.08</v>
      </c>
      <c r="G28" s="547">
        <v>286550.08</v>
      </c>
      <c r="H28" s="548">
        <v>287180.12</v>
      </c>
      <c r="I28" s="547">
        <v>287180.12</v>
      </c>
      <c r="J28" s="542">
        <v>287180.12</v>
      </c>
      <c r="K28" s="549">
        <v>287180.12</v>
      </c>
      <c r="L28" s="549"/>
      <c r="M28" s="550"/>
      <c r="N28" s="544"/>
      <c r="O28" s="531"/>
      <c r="Q28" s="544">
        <f t="shared" si="0"/>
        <v>2004586.2800000003</v>
      </c>
      <c r="R28" s="544">
        <v>0</v>
      </c>
    </row>
    <row r="29" spans="1:18" x14ac:dyDescent="0.25">
      <c r="A29" s="528">
        <v>25</v>
      </c>
      <c r="B29" s="527" t="s">
        <v>256</v>
      </c>
      <c r="C29" s="528" t="s">
        <v>257</v>
      </c>
      <c r="D29" s="529">
        <v>4251560.5799999991</v>
      </c>
      <c r="E29" s="551">
        <v>318686.65000000002</v>
      </c>
      <c r="F29" s="546">
        <v>320269.78000000003</v>
      </c>
      <c r="G29" s="547">
        <v>322019.77</v>
      </c>
      <c r="H29" s="548">
        <v>365620.49</v>
      </c>
      <c r="I29" s="547">
        <v>365620.49</v>
      </c>
      <c r="J29" s="542">
        <v>365620.49</v>
      </c>
      <c r="K29" s="549">
        <v>365620.49</v>
      </c>
      <c r="L29" s="549"/>
      <c r="M29" s="550"/>
      <c r="N29" s="544"/>
      <c r="O29" s="531"/>
      <c r="Q29" s="544">
        <f t="shared" si="0"/>
        <v>2423458.16</v>
      </c>
      <c r="R29" s="544">
        <v>0</v>
      </c>
    </row>
    <row r="30" spans="1:18" x14ac:dyDescent="0.25">
      <c r="A30" s="528">
        <v>26</v>
      </c>
      <c r="B30" s="527" t="s">
        <v>258</v>
      </c>
      <c r="C30" s="528" t="s">
        <v>259</v>
      </c>
      <c r="D30" s="529">
        <v>8732610.7200000007</v>
      </c>
      <c r="E30" s="551">
        <v>727291.13</v>
      </c>
      <c r="F30" s="546">
        <v>737684.93</v>
      </c>
      <c r="G30" s="547">
        <v>737684.93</v>
      </c>
      <c r="H30" s="548">
        <v>725549.97</v>
      </c>
      <c r="I30" s="547">
        <v>725549.97</v>
      </c>
      <c r="J30" s="542">
        <v>725549.97</v>
      </c>
      <c r="K30" s="549">
        <v>725549.97</v>
      </c>
      <c r="L30" s="549"/>
      <c r="M30" s="550"/>
      <c r="N30" s="544"/>
      <c r="O30" s="531"/>
      <c r="Q30" s="544">
        <f t="shared" si="0"/>
        <v>5104860.8699999992</v>
      </c>
      <c r="R30" s="544">
        <v>0</v>
      </c>
    </row>
    <row r="31" spans="1:18" x14ac:dyDescent="0.25">
      <c r="A31" s="528">
        <v>27</v>
      </c>
      <c r="B31" s="527">
        <v>3441</v>
      </c>
      <c r="C31" s="528" t="s">
        <v>260</v>
      </c>
      <c r="D31" s="529">
        <v>4608534.62</v>
      </c>
      <c r="E31" s="551">
        <v>365051.77</v>
      </c>
      <c r="F31" s="546">
        <v>372113.82</v>
      </c>
      <c r="G31" s="547">
        <v>380953.21</v>
      </c>
      <c r="H31" s="548">
        <v>387823.98</v>
      </c>
      <c r="I31" s="547">
        <v>387823.98</v>
      </c>
      <c r="J31" s="542">
        <v>387823.98</v>
      </c>
      <c r="K31" s="549">
        <v>387823.98</v>
      </c>
      <c r="L31" s="549"/>
      <c r="M31" s="550"/>
      <c r="N31" s="544"/>
      <c r="O31" s="531"/>
      <c r="Q31" s="544">
        <f t="shared" si="0"/>
        <v>2669414.7200000002</v>
      </c>
      <c r="R31" s="544">
        <v>0</v>
      </c>
    </row>
    <row r="32" spans="1:18" x14ac:dyDescent="0.25">
      <c r="A32" s="528">
        <v>28</v>
      </c>
      <c r="B32" s="527">
        <v>3924</v>
      </c>
      <c r="C32" s="528" t="s">
        <v>261</v>
      </c>
      <c r="D32" s="529">
        <v>3681454.14</v>
      </c>
      <c r="E32" s="551">
        <v>303122.37</v>
      </c>
      <c r="F32" s="546">
        <v>308213.52</v>
      </c>
      <c r="G32" s="547">
        <v>309424.3</v>
      </c>
      <c r="H32" s="548">
        <v>306743.77</v>
      </c>
      <c r="I32" s="547">
        <v>306743.77</v>
      </c>
      <c r="J32" s="542">
        <v>306743.77</v>
      </c>
      <c r="K32" s="549">
        <v>306743.77</v>
      </c>
      <c r="L32" s="549"/>
      <c r="M32" s="550"/>
      <c r="N32" s="544"/>
      <c r="O32" s="531"/>
      <c r="Q32" s="544">
        <f t="shared" si="0"/>
        <v>2147735.27</v>
      </c>
      <c r="R32" s="544">
        <v>0</v>
      </c>
    </row>
    <row r="33" spans="1:18" x14ac:dyDescent="0.25">
      <c r="A33" s="528">
        <v>29</v>
      </c>
      <c r="B33" s="527" t="s">
        <v>262</v>
      </c>
      <c r="C33" s="528" t="s">
        <v>263</v>
      </c>
      <c r="D33" s="529">
        <v>2023473.2600000002</v>
      </c>
      <c r="E33" s="551">
        <v>166503.70000000001</v>
      </c>
      <c r="F33" s="546">
        <v>168521.9</v>
      </c>
      <c r="G33" s="547">
        <v>168521.9</v>
      </c>
      <c r="H33" s="548">
        <v>168880.64000000001</v>
      </c>
      <c r="I33" s="547">
        <v>168880.64000000001</v>
      </c>
      <c r="J33" s="542">
        <v>168880.64000000001</v>
      </c>
      <c r="K33" s="549">
        <v>168880.64000000001</v>
      </c>
      <c r="L33" s="549"/>
      <c r="M33" s="550"/>
      <c r="N33" s="544"/>
      <c r="O33" s="531"/>
      <c r="Q33" s="544">
        <f t="shared" si="0"/>
        <v>1179070.06</v>
      </c>
      <c r="R33" s="544">
        <v>0</v>
      </c>
    </row>
    <row r="34" spans="1:18" x14ac:dyDescent="0.25">
      <c r="A34" s="528">
        <v>30</v>
      </c>
      <c r="B34" s="559" t="s">
        <v>264</v>
      </c>
      <c r="C34" s="560" t="s">
        <v>265</v>
      </c>
      <c r="D34" s="561"/>
      <c r="E34" s="562"/>
      <c r="F34" s="563">
        <v>0</v>
      </c>
      <c r="G34" s="561"/>
      <c r="H34" s="564"/>
      <c r="I34" s="561"/>
      <c r="J34" s="542"/>
      <c r="K34" s="549"/>
      <c r="L34" s="549"/>
      <c r="M34" s="550"/>
      <c r="N34" s="544"/>
      <c r="O34" s="531"/>
      <c r="Q34" s="544">
        <f t="shared" si="0"/>
        <v>0</v>
      </c>
      <c r="R34" s="544">
        <v>0</v>
      </c>
    </row>
    <row r="35" spans="1:18" x14ac:dyDescent="0.25">
      <c r="A35" s="528">
        <v>31</v>
      </c>
      <c r="B35" s="527" t="s">
        <v>266</v>
      </c>
      <c r="C35" s="528" t="s">
        <v>429</v>
      </c>
      <c r="D35" s="529">
        <v>5483840.0500000007</v>
      </c>
      <c r="E35" s="551">
        <v>418200.93</v>
      </c>
      <c r="F35" s="546">
        <v>425546.45</v>
      </c>
      <c r="G35" s="547">
        <v>426358.86</v>
      </c>
      <c r="H35" s="548">
        <v>468192.65</v>
      </c>
      <c r="I35" s="547">
        <v>468192.65</v>
      </c>
      <c r="J35" s="542">
        <v>468192.64</v>
      </c>
      <c r="K35" s="549">
        <v>468192.65</v>
      </c>
      <c r="L35" s="549"/>
      <c r="M35" s="550"/>
      <c r="N35" s="544"/>
      <c r="O35" s="531"/>
      <c r="Q35" s="544">
        <f t="shared" si="0"/>
        <v>3142876.83</v>
      </c>
      <c r="R35" s="544">
        <v>0</v>
      </c>
    </row>
    <row r="36" spans="1:18" x14ac:dyDescent="0.25">
      <c r="A36" s="528">
        <v>32</v>
      </c>
      <c r="B36" s="527" t="s">
        <v>268</v>
      </c>
      <c r="C36" s="528" t="s">
        <v>269</v>
      </c>
      <c r="D36" s="529">
        <v>5909358.3000000007</v>
      </c>
      <c r="E36" s="551">
        <v>486040.8</v>
      </c>
      <c r="F36" s="546">
        <v>493503.39</v>
      </c>
      <c r="G36" s="547">
        <v>493503.4</v>
      </c>
      <c r="H36" s="548">
        <v>492923.41</v>
      </c>
      <c r="I36" s="547">
        <v>492923.41</v>
      </c>
      <c r="J36" s="542">
        <v>492923.41</v>
      </c>
      <c r="K36" s="549">
        <v>492923.41</v>
      </c>
      <c r="L36" s="549"/>
      <c r="M36" s="550"/>
      <c r="N36" s="544"/>
      <c r="O36" s="531"/>
      <c r="Q36" s="544">
        <f t="shared" si="0"/>
        <v>3444741.23</v>
      </c>
      <c r="R36" s="544">
        <v>0</v>
      </c>
    </row>
    <row r="37" spans="1:18" x14ac:dyDescent="0.25">
      <c r="A37" s="528">
        <v>33</v>
      </c>
      <c r="B37" s="527">
        <v>4002</v>
      </c>
      <c r="C37" s="528" t="s">
        <v>270</v>
      </c>
      <c r="D37" s="529">
        <v>8518364.3300000001</v>
      </c>
      <c r="E37" s="551">
        <v>707326.89</v>
      </c>
      <c r="F37" s="546">
        <v>715174.9</v>
      </c>
      <c r="G37" s="547">
        <v>715174.91</v>
      </c>
      <c r="H37" s="548">
        <v>708965.29</v>
      </c>
      <c r="I37" s="547">
        <v>708965.29</v>
      </c>
      <c r="J37" s="542">
        <v>708965.29</v>
      </c>
      <c r="K37" s="549">
        <v>708965.29</v>
      </c>
      <c r="L37" s="549"/>
      <c r="M37" s="550"/>
      <c r="N37" s="544"/>
      <c r="O37" s="531"/>
      <c r="Q37" s="544">
        <f t="shared" si="0"/>
        <v>4973537.8600000003</v>
      </c>
      <c r="R37" s="544">
        <v>0</v>
      </c>
    </row>
    <row r="38" spans="1:18" x14ac:dyDescent="0.25">
      <c r="A38" s="528">
        <v>34</v>
      </c>
      <c r="B38" s="527">
        <v>4012</v>
      </c>
      <c r="C38" s="528" t="s">
        <v>271</v>
      </c>
      <c r="D38" s="529">
        <v>4976340.8400000008</v>
      </c>
      <c r="E38" s="551">
        <v>401311.12</v>
      </c>
      <c r="F38" s="546">
        <v>409405.4</v>
      </c>
      <c r="G38" s="547">
        <v>417398.36</v>
      </c>
      <c r="H38" s="548">
        <v>416469.55</v>
      </c>
      <c r="I38" s="547">
        <v>416469.55</v>
      </c>
      <c r="J38" s="542">
        <v>416469.55</v>
      </c>
      <c r="K38" s="549">
        <v>416469.55</v>
      </c>
      <c r="L38" s="549"/>
      <c r="M38" s="550"/>
      <c r="N38" s="544"/>
      <c r="O38" s="531"/>
      <c r="Q38" s="544">
        <f t="shared" si="0"/>
        <v>2893993.0799999996</v>
      </c>
      <c r="R38" s="544">
        <v>0</v>
      </c>
    </row>
    <row r="39" spans="1:18" x14ac:dyDescent="0.25">
      <c r="A39" s="528">
        <v>35</v>
      </c>
      <c r="B39" s="527">
        <v>4013</v>
      </c>
      <c r="C39" s="528" t="s">
        <v>272</v>
      </c>
      <c r="D39" s="529">
        <v>9219751.209999999</v>
      </c>
      <c r="E39" s="551">
        <v>667648.91</v>
      </c>
      <c r="F39" s="546">
        <v>677472.72</v>
      </c>
      <c r="G39" s="547">
        <v>795258.27</v>
      </c>
      <c r="H39" s="548">
        <v>786596.81</v>
      </c>
      <c r="I39" s="547">
        <v>786596.81</v>
      </c>
      <c r="J39" s="542">
        <v>786596.81</v>
      </c>
      <c r="K39" s="549">
        <v>786596.81</v>
      </c>
      <c r="L39" s="549"/>
      <c r="M39" s="550"/>
      <c r="N39" s="544"/>
      <c r="O39" s="531"/>
      <c r="Q39" s="544">
        <f t="shared" si="0"/>
        <v>5286767.1400000006</v>
      </c>
      <c r="R39" s="544">
        <v>0</v>
      </c>
    </row>
    <row r="40" spans="1:18" x14ac:dyDescent="0.25">
      <c r="A40" s="528">
        <v>36</v>
      </c>
      <c r="B40" s="527">
        <v>4020</v>
      </c>
      <c r="C40" s="528" t="s">
        <v>273</v>
      </c>
      <c r="D40" s="529">
        <v>10804213.049999997</v>
      </c>
      <c r="E40" s="551">
        <v>892802.19</v>
      </c>
      <c r="F40" s="546">
        <v>906770.45</v>
      </c>
      <c r="G40" s="547">
        <v>906770.45</v>
      </c>
      <c r="H40" s="548">
        <v>899763.33</v>
      </c>
      <c r="I40" s="547">
        <v>899763.33</v>
      </c>
      <c r="J40" s="542">
        <v>899763.33</v>
      </c>
      <c r="K40" s="549">
        <v>899763.33</v>
      </c>
      <c r="L40" s="549"/>
      <c r="M40" s="550"/>
      <c r="N40" s="544"/>
      <c r="O40" s="531"/>
      <c r="Q40" s="544">
        <f t="shared" si="0"/>
        <v>6305396.4100000001</v>
      </c>
      <c r="R40" s="544">
        <v>0</v>
      </c>
    </row>
    <row r="41" spans="1:18" x14ac:dyDescent="0.25">
      <c r="A41" s="528">
        <v>37</v>
      </c>
      <c r="B41" s="527">
        <v>4030</v>
      </c>
      <c r="C41" s="528" t="s">
        <v>274</v>
      </c>
      <c r="D41" s="529">
        <v>2611065.0099999993</v>
      </c>
      <c r="E41" s="551">
        <v>216879.02</v>
      </c>
      <c r="F41" s="546">
        <v>218407.85</v>
      </c>
      <c r="G41" s="547">
        <v>218407.85</v>
      </c>
      <c r="H41" s="548">
        <v>217485.59</v>
      </c>
      <c r="I41" s="547">
        <v>217485.59</v>
      </c>
      <c r="J41" s="542">
        <v>217485.59</v>
      </c>
      <c r="K41" s="549">
        <v>217485.59</v>
      </c>
      <c r="L41" s="549"/>
      <c r="M41" s="550"/>
      <c r="N41" s="544"/>
      <c r="O41" s="531"/>
      <c r="Q41" s="544">
        <f t="shared" si="0"/>
        <v>1523637.08</v>
      </c>
      <c r="R41" s="544">
        <v>0</v>
      </c>
    </row>
    <row r="42" spans="1:18" x14ac:dyDescent="0.25">
      <c r="A42" s="528">
        <v>38</v>
      </c>
      <c r="B42" s="527">
        <v>4031</v>
      </c>
      <c r="C42" s="528" t="s">
        <v>275</v>
      </c>
      <c r="D42" s="529">
        <v>3855591.13</v>
      </c>
      <c r="E42" s="551">
        <v>322483.34000000003</v>
      </c>
      <c r="F42" s="546">
        <v>326575.68</v>
      </c>
      <c r="G42" s="547">
        <v>326575.68</v>
      </c>
      <c r="H42" s="548">
        <v>319995.15999999997</v>
      </c>
      <c r="I42" s="547">
        <v>319995.15999999997</v>
      </c>
      <c r="J42" s="542">
        <v>319995.15999999997</v>
      </c>
      <c r="K42" s="549">
        <v>319995.15999999997</v>
      </c>
      <c r="L42" s="549"/>
      <c r="M42" s="550"/>
      <c r="N42" s="544"/>
      <c r="O42" s="531"/>
      <c r="Q42" s="544">
        <f t="shared" si="0"/>
        <v>2255615.34</v>
      </c>
      <c r="R42" s="544">
        <v>0</v>
      </c>
    </row>
    <row r="43" spans="1:18" x14ac:dyDescent="0.25">
      <c r="A43" s="528">
        <v>39</v>
      </c>
      <c r="B43" s="527">
        <v>4041</v>
      </c>
      <c r="C43" s="528" t="s">
        <v>276</v>
      </c>
      <c r="D43" s="529">
        <v>774548.9600000002</v>
      </c>
      <c r="E43" s="551">
        <v>63488.77</v>
      </c>
      <c r="F43" s="546">
        <v>64770.19</v>
      </c>
      <c r="G43" s="547">
        <v>64770.19</v>
      </c>
      <c r="H43" s="548">
        <v>64613.31</v>
      </c>
      <c r="I43" s="547">
        <v>64613.31</v>
      </c>
      <c r="J43" s="542">
        <v>64613.31</v>
      </c>
      <c r="K43" s="549">
        <v>64613.31</v>
      </c>
      <c r="L43" s="549"/>
      <c r="M43" s="550"/>
      <c r="N43" s="544"/>
      <c r="O43" s="531"/>
      <c r="Q43" s="544">
        <f t="shared" si="0"/>
        <v>451482.39</v>
      </c>
      <c r="R43" s="544">
        <v>0</v>
      </c>
    </row>
    <row r="44" spans="1:18" x14ac:dyDescent="0.25">
      <c r="A44" s="528">
        <v>40</v>
      </c>
      <c r="B44" s="527">
        <v>4050</v>
      </c>
      <c r="C44" s="528" t="s">
        <v>277</v>
      </c>
      <c r="D44" s="529">
        <v>6152740.5099999998</v>
      </c>
      <c r="E44" s="551">
        <v>512294.34</v>
      </c>
      <c r="F44" s="546">
        <v>519597.92</v>
      </c>
      <c r="G44" s="547">
        <v>519597.92</v>
      </c>
      <c r="H44" s="548">
        <v>511250.04</v>
      </c>
      <c r="I44" s="547">
        <v>511250.04</v>
      </c>
      <c r="J44" s="542">
        <v>511250.04</v>
      </c>
      <c r="K44" s="549">
        <v>511250.04</v>
      </c>
      <c r="L44" s="549"/>
      <c r="M44" s="550"/>
      <c r="N44" s="544"/>
      <c r="O44" s="531"/>
      <c r="Q44" s="544">
        <f t="shared" si="0"/>
        <v>3596490.34</v>
      </c>
      <c r="R44" s="544">
        <v>0</v>
      </c>
    </row>
    <row r="45" spans="1:18" x14ac:dyDescent="0.25">
      <c r="A45" s="528">
        <v>41</v>
      </c>
      <c r="B45" s="527">
        <v>4051</v>
      </c>
      <c r="C45" s="528" t="s">
        <v>278</v>
      </c>
      <c r="D45" s="529">
        <v>6442314.4800000014</v>
      </c>
      <c r="E45" s="551">
        <v>541173.16</v>
      </c>
      <c r="F45" s="546">
        <v>548429.27</v>
      </c>
      <c r="G45" s="547">
        <v>548429.27</v>
      </c>
      <c r="H45" s="548">
        <v>533809.19999999995</v>
      </c>
      <c r="I45" s="547">
        <v>533809.19999999995</v>
      </c>
      <c r="J45" s="542">
        <v>533809.19999999995</v>
      </c>
      <c r="K45" s="549">
        <v>533809.19999999995</v>
      </c>
      <c r="L45" s="549"/>
      <c r="M45" s="550"/>
      <c r="N45" s="544"/>
      <c r="O45" s="531"/>
      <c r="Q45" s="544">
        <f t="shared" si="0"/>
        <v>3773268.5000000009</v>
      </c>
      <c r="R45" s="544">
        <v>0</v>
      </c>
    </row>
    <row r="46" spans="1:18" x14ac:dyDescent="0.25">
      <c r="A46" s="528">
        <v>42</v>
      </c>
      <c r="B46" s="527">
        <v>4061</v>
      </c>
      <c r="C46" s="528" t="s">
        <v>279</v>
      </c>
      <c r="D46" s="529">
        <v>8361178.2800000003</v>
      </c>
      <c r="E46" s="551">
        <v>686342</v>
      </c>
      <c r="F46" s="546">
        <v>697323.13</v>
      </c>
      <c r="G46" s="547">
        <v>697323.13</v>
      </c>
      <c r="H46" s="548">
        <v>697798.89</v>
      </c>
      <c r="I46" s="547">
        <v>697798.89</v>
      </c>
      <c r="J46" s="542">
        <v>697798.89</v>
      </c>
      <c r="K46" s="549">
        <v>697798.89</v>
      </c>
      <c r="L46" s="549"/>
      <c r="M46" s="550"/>
      <c r="N46" s="544"/>
      <c r="O46" s="531"/>
      <c r="Q46" s="544">
        <f t="shared" si="0"/>
        <v>4872183.82</v>
      </c>
      <c r="R46" s="544">
        <v>0</v>
      </c>
    </row>
    <row r="47" spans="1:18" x14ac:dyDescent="0.25">
      <c r="A47" s="528">
        <v>43</v>
      </c>
      <c r="B47" s="527">
        <v>4080</v>
      </c>
      <c r="C47" s="528" t="s">
        <v>280</v>
      </c>
      <c r="D47" s="565"/>
      <c r="E47" s="566">
        <v>166059.87</v>
      </c>
      <c r="F47" s="599">
        <v>-166059.87</v>
      </c>
      <c r="G47" s="547"/>
      <c r="H47" s="548"/>
      <c r="I47" s="547"/>
      <c r="J47" s="542"/>
      <c r="K47" s="549"/>
      <c r="L47" s="549"/>
      <c r="M47" s="550"/>
      <c r="N47" s="544"/>
      <c r="O47" s="531"/>
      <c r="Q47" s="544">
        <f t="shared" si="0"/>
        <v>0</v>
      </c>
      <c r="R47" s="544">
        <v>0</v>
      </c>
    </row>
    <row r="48" spans="1:18" x14ac:dyDescent="0.25">
      <c r="A48" s="528">
        <v>44</v>
      </c>
      <c r="B48" s="527">
        <v>4081</v>
      </c>
      <c r="C48" s="528" t="s">
        <v>281</v>
      </c>
      <c r="D48" s="529">
        <v>1028142.8700000001</v>
      </c>
      <c r="E48" s="551">
        <v>83555.86</v>
      </c>
      <c r="F48" s="546">
        <v>84667.61</v>
      </c>
      <c r="G48" s="547">
        <v>84667.61</v>
      </c>
      <c r="H48" s="548">
        <v>86139.09</v>
      </c>
      <c r="I48" s="547">
        <v>86139.09</v>
      </c>
      <c r="J48" s="542">
        <v>86139.09</v>
      </c>
      <c r="K48" s="549">
        <v>86139.09</v>
      </c>
      <c r="L48" s="549"/>
      <c r="M48" s="550"/>
      <c r="N48" s="544"/>
      <c r="O48" s="531"/>
      <c r="Q48" s="544">
        <f t="shared" si="0"/>
        <v>597447.43999999994</v>
      </c>
      <c r="R48" s="544">
        <v>0</v>
      </c>
    </row>
    <row r="49" spans="1:18" x14ac:dyDescent="0.25">
      <c r="A49" s="528">
        <v>45</v>
      </c>
      <c r="B49" s="527">
        <v>4090</v>
      </c>
      <c r="C49" s="528" t="s">
        <v>282</v>
      </c>
      <c r="D49" s="529">
        <v>2440255.5799999996</v>
      </c>
      <c r="E49" s="551">
        <v>182095.15</v>
      </c>
      <c r="F49" s="546">
        <v>185341.43</v>
      </c>
      <c r="G49" s="547">
        <v>185341.43</v>
      </c>
      <c r="H49" s="548">
        <v>209719.73</v>
      </c>
      <c r="I49" s="547">
        <v>209719.73</v>
      </c>
      <c r="J49" s="542">
        <v>209719.73</v>
      </c>
      <c r="K49" s="549">
        <v>209719.73</v>
      </c>
      <c r="L49" s="549"/>
      <c r="M49" s="550"/>
      <c r="N49" s="544"/>
      <c r="O49" s="531"/>
      <c r="Q49" s="544">
        <f>SUM(E49:P49)</f>
        <v>1391656.93</v>
      </c>
      <c r="R49" s="544">
        <v>0</v>
      </c>
    </row>
    <row r="50" spans="1:18" x14ac:dyDescent="0.25">
      <c r="A50" s="528">
        <v>46</v>
      </c>
      <c r="B50" s="527">
        <v>4091</v>
      </c>
      <c r="C50" s="528" t="s">
        <v>283</v>
      </c>
      <c r="D50" s="529">
        <v>3419511.6199999996</v>
      </c>
      <c r="E50" s="551">
        <v>285991.09999999998</v>
      </c>
      <c r="F50" s="546">
        <v>288895.8</v>
      </c>
      <c r="G50" s="547">
        <v>288895.8</v>
      </c>
      <c r="H50" s="548">
        <v>283969.88</v>
      </c>
      <c r="I50" s="547">
        <v>283969.88</v>
      </c>
      <c r="J50" s="542">
        <v>283969.88</v>
      </c>
      <c r="K50" s="549">
        <v>283969.88</v>
      </c>
      <c r="L50" s="549"/>
      <c r="M50" s="550"/>
      <c r="N50" s="544"/>
      <c r="O50" s="531"/>
      <c r="Q50" s="544">
        <f t="shared" si="0"/>
        <v>1999662.2199999997</v>
      </c>
      <c r="R50" s="544">
        <v>0</v>
      </c>
    </row>
    <row r="51" spans="1:18" x14ac:dyDescent="0.25">
      <c r="A51" s="528">
        <v>47</v>
      </c>
      <c r="B51" s="527">
        <v>4100</v>
      </c>
      <c r="C51" s="528" t="s">
        <v>284</v>
      </c>
      <c r="D51" s="529">
        <v>3853582.64</v>
      </c>
      <c r="E51" s="551">
        <v>312807.54399999999</v>
      </c>
      <c r="F51" s="546">
        <v>321124.13</v>
      </c>
      <c r="G51" s="547">
        <v>321124.13</v>
      </c>
      <c r="H51" s="548">
        <v>321124.13</v>
      </c>
      <c r="I51" s="547">
        <v>321189.65000000002</v>
      </c>
      <c r="J51" s="542">
        <v>322316.15000000002</v>
      </c>
      <c r="K51" s="549">
        <v>322228.78999999998</v>
      </c>
      <c r="L51" s="549"/>
      <c r="M51" s="550"/>
      <c r="N51" s="544"/>
      <c r="O51" s="531"/>
      <c r="Q51" s="544">
        <f t="shared" si="0"/>
        <v>2241914.5239999997</v>
      </c>
      <c r="R51" s="544">
        <v>0</v>
      </c>
    </row>
    <row r="52" spans="1:18" x14ac:dyDescent="0.25">
      <c r="A52" s="528">
        <v>48</v>
      </c>
      <c r="B52" s="559">
        <v>4102</v>
      </c>
      <c r="C52" s="560" t="s">
        <v>285</v>
      </c>
      <c r="D52" s="561">
        <v>1491672.3</v>
      </c>
      <c r="E52" s="562">
        <v>95722.880000000005</v>
      </c>
      <c r="F52" s="563">
        <v>97565.26</v>
      </c>
      <c r="G52" s="561">
        <v>129838.42</v>
      </c>
      <c r="H52" s="564">
        <v>129838.42</v>
      </c>
      <c r="I52" s="561">
        <v>129838.42</v>
      </c>
      <c r="J52" s="542">
        <v>129838.41</v>
      </c>
      <c r="K52" s="549">
        <v>129838.42</v>
      </c>
      <c r="L52" s="549"/>
      <c r="M52" s="550"/>
      <c r="N52" s="544"/>
      <c r="O52" s="531"/>
      <c r="Q52" s="544">
        <f t="shared" si="0"/>
        <v>842480.2300000001</v>
      </c>
      <c r="R52" s="544">
        <v>0</v>
      </c>
    </row>
    <row r="53" spans="1:18" x14ac:dyDescent="0.25">
      <c r="A53" s="528">
        <v>49</v>
      </c>
      <c r="B53" s="527">
        <v>4103</v>
      </c>
      <c r="C53" s="528" t="s">
        <v>286</v>
      </c>
      <c r="D53" s="529">
        <v>8322524.7200000007</v>
      </c>
      <c r="E53" s="551">
        <v>660664.68999999994</v>
      </c>
      <c r="F53" s="546">
        <v>670046.88</v>
      </c>
      <c r="G53" s="547">
        <v>702200.36</v>
      </c>
      <c r="H53" s="548">
        <v>698845.87</v>
      </c>
      <c r="I53" s="547">
        <v>698845.87</v>
      </c>
      <c r="J53" s="546">
        <v>698845.86</v>
      </c>
      <c r="K53" s="549">
        <v>698845.87</v>
      </c>
      <c r="L53" s="549"/>
      <c r="M53" s="550"/>
      <c r="N53" s="544"/>
      <c r="O53" s="550"/>
      <c r="P53" s="550"/>
      <c r="Q53" s="544">
        <f t="shared" si="0"/>
        <v>4828295.3999999994</v>
      </c>
      <c r="R53" s="544">
        <v>0</v>
      </c>
    </row>
    <row r="54" spans="1:18" x14ac:dyDescent="0.25">
      <c r="A54" s="528">
        <v>50</v>
      </c>
      <c r="B54" s="527">
        <v>4111</v>
      </c>
      <c r="C54" s="528" t="s">
        <v>287</v>
      </c>
      <c r="D54" s="529">
        <v>2456771.0500000003</v>
      </c>
      <c r="E54" s="551">
        <v>200228.99</v>
      </c>
      <c r="F54" s="546">
        <v>202649.33</v>
      </c>
      <c r="G54" s="547">
        <v>205064.94</v>
      </c>
      <c r="H54" s="548">
        <v>205425.31</v>
      </c>
      <c r="I54" s="547">
        <v>205425.31</v>
      </c>
      <c r="J54" s="546">
        <v>205425.31</v>
      </c>
      <c r="K54" s="549">
        <v>205425.31</v>
      </c>
      <c r="L54" s="549"/>
      <c r="M54" s="550"/>
      <c r="N54" s="544"/>
      <c r="O54" s="531"/>
      <c r="Q54" s="544">
        <f t="shared" si="0"/>
        <v>1429644.5000000002</v>
      </c>
      <c r="R54" s="544">
        <v>0</v>
      </c>
    </row>
    <row r="55" spans="1:18" x14ac:dyDescent="0.25">
      <c r="A55" s="528">
        <v>51</v>
      </c>
      <c r="B55" s="527">
        <v>4131</v>
      </c>
      <c r="C55" s="528" t="s">
        <v>288</v>
      </c>
      <c r="D55" s="529">
        <v>811362.51</v>
      </c>
      <c r="E55" s="551">
        <v>66112.399999999994</v>
      </c>
      <c r="F55" s="546">
        <v>67065.63</v>
      </c>
      <c r="G55" s="547">
        <v>67991.27</v>
      </c>
      <c r="H55" s="548">
        <v>67799.25</v>
      </c>
      <c r="I55" s="547">
        <v>67799.25</v>
      </c>
      <c r="J55" s="546">
        <v>67799.240000000005</v>
      </c>
      <c r="K55" s="549">
        <v>67799.25</v>
      </c>
      <c r="L55" s="549"/>
      <c r="M55" s="550"/>
      <c r="N55" s="544"/>
      <c r="O55" s="531"/>
      <c r="Q55" s="544">
        <f t="shared" si="0"/>
        <v>472366.29</v>
      </c>
      <c r="R55" s="544">
        <v>0</v>
      </c>
    </row>
    <row r="56" spans="1:18" x14ac:dyDescent="0.25">
      <c r="E56" s="545"/>
      <c r="J56" s="531"/>
      <c r="L56" s="531"/>
      <c r="R56" s="544">
        <f t="shared" ref="R56" si="1">SUM(E56:E56)</f>
        <v>0</v>
      </c>
    </row>
    <row r="57" spans="1:18" x14ac:dyDescent="0.25">
      <c r="D57" s="529">
        <f t="shared" ref="D57:I57" si="2">SUM(D5:D56)</f>
        <v>211038248.51000002</v>
      </c>
      <c r="E57" s="545">
        <f t="shared" si="2"/>
        <v>16906713.023999993</v>
      </c>
      <c r="F57" s="545">
        <f t="shared" si="2"/>
        <v>16825408.719999999</v>
      </c>
      <c r="G57" s="529">
        <f t="shared" si="2"/>
        <v>17480699.379999999</v>
      </c>
      <c r="H57" s="529">
        <f t="shared" si="2"/>
        <v>17767778.950000003</v>
      </c>
      <c r="I57" s="529">
        <f t="shared" si="2"/>
        <v>17751394.610000003</v>
      </c>
      <c r="J57" s="567">
        <f>SUM(J5:J56)</f>
        <v>17758036.229999997</v>
      </c>
      <c r="K57" s="567">
        <f>SUM(K5:K56)</f>
        <v>17759251.090000004</v>
      </c>
      <c r="L57" s="568">
        <f t="shared" ref="L57:P57" si="3">SUM(L5:L56)</f>
        <v>0</v>
      </c>
      <c r="M57" s="529">
        <f t="shared" si="3"/>
        <v>0</v>
      </c>
      <c r="N57" s="529">
        <f t="shared" si="3"/>
        <v>0</v>
      </c>
      <c r="O57" s="529">
        <f t="shared" si="3"/>
        <v>0</v>
      </c>
      <c r="P57" s="568">
        <f t="shared" si="3"/>
        <v>0</v>
      </c>
      <c r="Q57" s="529">
        <f>SUM(Q5:Q56)</f>
        <v>122075911.44400005</v>
      </c>
      <c r="R57" s="544">
        <f>SUM(E57:E57)</f>
        <v>16906713.023999993</v>
      </c>
    </row>
    <row r="59" spans="1:18" x14ac:dyDescent="0.25">
      <c r="B59" s="599">
        <v>166059.87</v>
      </c>
      <c r="C59" s="528" t="s">
        <v>430</v>
      </c>
      <c r="I59" s="569" t="s">
        <v>204</v>
      </c>
      <c r="J59" s="545">
        <f>'Annual Rev &amp; Fees'!L58</f>
        <v>211045536.88000003</v>
      </c>
      <c r="L59" s="570"/>
    </row>
    <row r="60" spans="1:18" x14ac:dyDescent="0.25">
      <c r="I60" s="569" t="s">
        <v>431</v>
      </c>
      <c r="J60" s="571">
        <f>D57-E57-F57-G57-H57-I57-J57</f>
        <v>106548217.59600005</v>
      </c>
      <c r="L60" s="570"/>
    </row>
    <row r="61" spans="1:18" x14ac:dyDescent="0.25">
      <c r="I61" s="569" t="s">
        <v>432</v>
      </c>
      <c r="J61" s="572">
        <f>K57</f>
        <v>17759251.090000004</v>
      </c>
      <c r="K61" s="573"/>
      <c r="L61" s="570"/>
    </row>
    <row r="62" spans="1:18" x14ac:dyDescent="0.25">
      <c r="I62" s="569" t="s">
        <v>433</v>
      </c>
      <c r="J62" s="571">
        <f>K57</f>
        <v>17759251.090000004</v>
      </c>
      <c r="L62" s="570"/>
    </row>
    <row r="63" spans="1:18" x14ac:dyDescent="0.25">
      <c r="J63" s="572">
        <f>J61-J62</f>
        <v>0</v>
      </c>
      <c r="K63" s="530" t="s">
        <v>434</v>
      </c>
      <c r="L63" s="570"/>
    </row>
    <row r="64" spans="1:18" x14ac:dyDescent="0.25">
      <c r="J64" s="570"/>
      <c r="L64" s="570"/>
    </row>
    <row r="65" spans="1:18" x14ac:dyDescent="0.25">
      <c r="D65" s="557"/>
      <c r="J65" s="570"/>
      <c r="L65" s="570"/>
    </row>
    <row r="69" spans="1:18" x14ac:dyDescent="0.25">
      <c r="N69" s="532" t="s">
        <v>435</v>
      </c>
    </row>
    <row r="71" spans="1:18" ht="45" x14ac:dyDescent="0.25">
      <c r="A71" s="534" t="s">
        <v>52</v>
      </c>
      <c r="B71" s="535" t="s">
        <v>52</v>
      </c>
      <c r="C71" s="534" t="s">
        <v>52</v>
      </c>
      <c r="D71" s="536" t="s">
        <v>204</v>
      </c>
      <c r="E71" s="536" t="s">
        <v>416</v>
      </c>
      <c r="F71" s="535" t="s">
        <v>417</v>
      </c>
      <c r="G71" s="535" t="s">
        <v>418</v>
      </c>
      <c r="H71" s="535" t="s">
        <v>419</v>
      </c>
      <c r="I71" s="535" t="s">
        <v>420</v>
      </c>
      <c r="J71" s="535" t="s">
        <v>421</v>
      </c>
      <c r="K71" s="537" t="s">
        <v>422</v>
      </c>
      <c r="L71" s="535" t="s">
        <v>423</v>
      </c>
      <c r="M71" s="535" t="s">
        <v>424</v>
      </c>
      <c r="N71" s="535" t="s">
        <v>425</v>
      </c>
      <c r="O71" s="535" t="s">
        <v>426</v>
      </c>
      <c r="P71" s="538" t="s">
        <v>427</v>
      </c>
      <c r="Q71" s="535" t="s">
        <v>125</v>
      </c>
      <c r="R71" s="539" t="s">
        <v>428</v>
      </c>
    </row>
    <row r="72" spans="1:18" x14ac:dyDescent="0.25">
      <c r="A72" s="528">
        <v>1</v>
      </c>
      <c r="B72" s="540" t="s">
        <v>212</v>
      </c>
      <c r="C72" s="528" t="s">
        <v>213</v>
      </c>
      <c r="D72" s="541">
        <v>298028.77999999997</v>
      </c>
      <c r="E72" s="541">
        <v>24451.48</v>
      </c>
      <c r="F72" s="588">
        <v>24870.66</v>
      </c>
      <c r="G72" s="588">
        <v>24870.66</v>
      </c>
      <c r="H72" s="542">
        <v>24538.62</v>
      </c>
      <c r="I72" s="542">
        <v>24538.63</v>
      </c>
      <c r="J72" s="542">
        <v>24538.62</v>
      </c>
      <c r="K72" s="543"/>
      <c r="L72" s="543"/>
      <c r="M72" s="542"/>
      <c r="N72" s="542"/>
      <c r="O72" s="542"/>
      <c r="P72" s="538"/>
      <c r="Q72" s="574">
        <f>SUM(E72:P72)</f>
        <v>147808.67000000001</v>
      </c>
      <c r="R72" s="544">
        <f>SUM(E72:J72)</f>
        <v>147808.67000000001</v>
      </c>
    </row>
    <row r="73" spans="1:18" x14ac:dyDescent="0.25">
      <c r="A73" s="528">
        <v>2</v>
      </c>
      <c r="B73" s="540" t="s">
        <v>556</v>
      </c>
      <c r="C73" s="528" t="s">
        <v>557</v>
      </c>
      <c r="D73" s="541"/>
      <c r="E73" s="541"/>
      <c r="F73" s="588"/>
      <c r="G73" s="588"/>
      <c r="H73" s="542">
        <v>43342.64</v>
      </c>
      <c r="I73" s="542">
        <v>43342.64</v>
      </c>
      <c r="J73" s="542">
        <v>43342.64</v>
      </c>
      <c r="K73" s="543"/>
      <c r="L73" s="543"/>
      <c r="M73" s="542"/>
      <c r="N73" s="542"/>
      <c r="O73" s="542"/>
      <c r="P73" s="538"/>
      <c r="Q73" s="574">
        <f>SUM(E73:P73)</f>
        <v>130027.92</v>
      </c>
      <c r="R73" s="544">
        <f t="shared" ref="R73:R122" si="4">SUM(E73:J73)</f>
        <v>130027.92</v>
      </c>
    </row>
    <row r="74" spans="1:18" x14ac:dyDescent="0.25">
      <c r="A74" s="528">
        <v>3</v>
      </c>
      <c r="B74" s="540" t="s">
        <v>214</v>
      </c>
      <c r="C74" s="528" t="s">
        <v>215</v>
      </c>
      <c r="D74" s="541">
        <v>267259.57</v>
      </c>
      <c r="E74" s="541">
        <v>22293.06</v>
      </c>
      <c r="F74" s="588">
        <v>22269.68</v>
      </c>
      <c r="G74" s="588">
        <v>22269.68</v>
      </c>
      <c r="H74" s="542">
        <v>26670.77</v>
      </c>
      <c r="I74" s="542">
        <v>26670.78</v>
      </c>
      <c r="J74" s="542">
        <v>26737.89</v>
      </c>
      <c r="K74" s="543"/>
      <c r="L74" s="543"/>
      <c r="M74" s="542"/>
      <c r="N74" s="542"/>
      <c r="O74" s="542"/>
      <c r="P74" s="538"/>
      <c r="Q74" s="574">
        <f>SUM(E74:P74)</f>
        <v>146911.86000000002</v>
      </c>
      <c r="R74" s="544">
        <f t="shared" si="4"/>
        <v>146911.86000000002</v>
      </c>
    </row>
    <row r="75" spans="1:18" x14ac:dyDescent="0.25">
      <c r="A75" s="528">
        <v>4</v>
      </c>
      <c r="B75" s="527" t="s">
        <v>216</v>
      </c>
      <c r="C75" s="528" t="s">
        <v>217</v>
      </c>
      <c r="D75" s="529">
        <v>5905730.7300000004</v>
      </c>
      <c r="E75" s="545">
        <v>485398.34</v>
      </c>
      <c r="F75" s="547">
        <v>492757.49</v>
      </c>
      <c r="G75" s="547">
        <v>662254.39</v>
      </c>
      <c r="H75" s="547">
        <v>675822.09</v>
      </c>
      <c r="I75" s="546">
        <v>659372.19999999995</v>
      </c>
      <c r="J75" s="546">
        <v>659372.19999999995</v>
      </c>
      <c r="K75" s="549"/>
      <c r="L75" s="550"/>
      <c r="M75" s="550"/>
      <c r="N75" s="550"/>
      <c r="O75" s="531"/>
      <c r="Q75" s="574">
        <f>SUM(E75:P75)</f>
        <v>3634976.71</v>
      </c>
      <c r="R75" s="544">
        <f t="shared" si="4"/>
        <v>3634976.71</v>
      </c>
    </row>
    <row r="76" spans="1:18" x14ac:dyDescent="0.25">
      <c r="A76" s="528">
        <v>5</v>
      </c>
      <c r="B76" s="527" t="s">
        <v>218</v>
      </c>
      <c r="C76" s="528" t="s">
        <v>219</v>
      </c>
      <c r="D76" s="529">
        <v>9687740.0200000014</v>
      </c>
      <c r="E76" s="551">
        <v>795164.86</v>
      </c>
      <c r="F76" s="547">
        <v>808415.92</v>
      </c>
      <c r="G76" s="547">
        <v>876352.53</v>
      </c>
      <c r="H76" s="547">
        <v>860836.4</v>
      </c>
      <c r="I76" s="546">
        <v>860836.4</v>
      </c>
      <c r="J76" s="546">
        <v>860836.4</v>
      </c>
      <c r="K76" s="549"/>
      <c r="L76" s="550"/>
      <c r="M76" s="550"/>
      <c r="N76" s="550"/>
      <c r="O76" s="531"/>
      <c r="Q76" s="574">
        <f>SUM(E76:P76)</f>
        <v>5062442.5100000007</v>
      </c>
      <c r="R76" s="544">
        <f t="shared" si="4"/>
        <v>5062442.5100000007</v>
      </c>
    </row>
    <row r="77" spans="1:18" x14ac:dyDescent="0.25">
      <c r="A77" s="528">
        <v>6</v>
      </c>
      <c r="B77" s="527" t="s">
        <v>220</v>
      </c>
      <c r="C77" s="528" t="s">
        <v>221</v>
      </c>
      <c r="D77" s="529">
        <v>1350384.3499999999</v>
      </c>
      <c r="E77" s="551">
        <v>112200.54</v>
      </c>
      <c r="F77" s="547">
        <v>112562.16</v>
      </c>
      <c r="G77" s="547">
        <v>112694.39999999999</v>
      </c>
      <c r="H77" s="547">
        <v>109553.39</v>
      </c>
      <c r="I77" s="546">
        <v>109553.39</v>
      </c>
      <c r="J77" s="546">
        <v>109705.04</v>
      </c>
      <c r="K77" s="549"/>
      <c r="L77" s="550"/>
      <c r="M77" s="550"/>
      <c r="N77" s="550"/>
      <c r="O77" s="531"/>
      <c r="Q77" s="574">
        <f t="shared" ref="Q77:Q122" si="5">SUM(E77:P77)</f>
        <v>666268.92000000004</v>
      </c>
      <c r="R77" s="544">
        <f t="shared" si="4"/>
        <v>666268.92000000004</v>
      </c>
    </row>
    <row r="78" spans="1:18" x14ac:dyDescent="0.25">
      <c r="A78" s="528">
        <v>7</v>
      </c>
      <c r="B78" s="527" t="s">
        <v>222</v>
      </c>
      <c r="C78" s="528" t="s">
        <v>318</v>
      </c>
      <c r="D78" s="557">
        <v>1583711.73</v>
      </c>
      <c r="E78" s="551">
        <v>128465.38</v>
      </c>
      <c r="F78" s="547">
        <v>132295.12</v>
      </c>
      <c r="G78" s="547">
        <v>132295.12</v>
      </c>
      <c r="H78" s="547">
        <v>136643.49</v>
      </c>
      <c r="I78" s="546">
        <v>136643.49</v>
      </c>
      <c r="J78" s="546">
        <v>137042.07</v>
      </c>
      <c r="K78" s="549"/>
      <c r="L78" s="550"/>
      <c r="M78" s="550"/>
      <c r="N78" s="550"/>
      <c r="O78" s="531"/>
      <c r="Q78" s="574">
        <f t="shared" si="5"/>
        <v>803384.66999999993</v>
      </c>
      <c r="R78" s="544">
        <f t="shared" si="4"/>
        <v>803384.66999999993</v>
      </c>
    </row>
    <row r="79" spans="1:18" x14ac:dyDescent="0.25">
      <c r="A79" s="528">
        <v>8</v>
      </c>
      <c r="B79" s="527" t="s">
        <v>224</v>
      </c>
      <c r="C79" s="528" t="s">
        <v>225</v>
      </c>
      <c r="D79" s="529">
        <v>5346468.25</v>
      </c>
      <c r="E79" s="551">
        <v>440248.86</v>
      </c>
      <c r="F79" s="547">
        <v>446019.94</v>
      </c>
      <c r="G79" s="547">
        <v>446019.95</v>
      </c>
      <c r="H79" s="547">
        <v>454340.22</v>
      </c>
      <c r="I79" s="546">
        <v>454340.22</v>
      </c>
      <c r="J79" s="546">
        <v>455853.95</v>
      </c>
      <c r="K79" s="549"/>
      <c r="L79" s="550"/>
      <c r="M79" s="550"/>
      <c r="N79" s="550"/>
      <c r="O79" s="531"/>
      <c r="Q79" s="574">
        <f t="shared" si="5"/>
        <v>2696823.14</v>
      </c>
      <c r="R79" s="544">
        <f t="shared" si="4"/>
        <v>2696823.14</v>
      </c>
    </row>
    <row r="80" spans="1:18" x14ac:dyDescent="0.25">
      <c r="A80" s="528">
        <v>9</v>
      </c>
      <c r="B80" s="527" t="s">
        <v>226</v>
      </c>
      <c r="C80" s="528" t="s">
        <v>227</v>
      </c>
      <c r="D80" s="529">
        <v>5255370.76</v>
      </c>
      <c r="E80" s="551">
        <v>433777.9</v>
      </c>
      <c r="F80" s="547">
        <v>438326.62</v>
      </c>
      <c r="G80" s="547">
        <v>438326.62</v>
      </c>
      <c r="H80" s="547">
        <v>441316.79</v>
      </c>
      <c r="I80" s="546">
        <v>441316.79</v>
      </c>
      <c r="J80" s="546">
        <v>441316.79</v>
      </c>
      <c r="K80" s="549"/>
      <c r="L80" s="550"/>
      <c r="M80" s="550"/>
      <c r="N80" s="550"/>
      <c r="O80" s="531"/>
      <c r="Q80" s="574">
        <f t="shared" si="5"/>
        <v>2634381.5100000002</v>
      </c>
      <c r="R80" s="544">
        <f t="shared" si="4"/>
        <v>2634381.5100000002</v>
      </c>
    </row>
    <row r="81" spans="1:18" x14ac:dyDescent="0.25">
      <c r="A81" s="528">
        <v>10</v>
      </c>
      <c r="B81" s="527" t="s">
        <v>228</v>
      </c>
      <c r="C81" s="528" t="s">
        <v>229</v>
      </c>
      <c r="D81" s="529">
        <v>6152950.2399999993</v>
      </c>
      <c r="E81" s="551">
        <v>505265.93</v>
      </c>
      <c r="F81" s="547">
        <v>513425.85</v>
      </c>
      <c r="G81" s="547">
        <v>513425.85</v>
      </c>
      <c r="H81" s="547">
        <v>511868.89</v>
      </c>
      <c r="I81" s="546">
        <v>511868.89</v>
      </c>
      <c r="J81" s="546">
        <v>511868.89</v>
      </c>
      <c r="K81" s="549"/>
      <c r="L81" s="550"/>
      <c r="M81" s="550"/>
      <c r="N81" s="550"/>
      <c r="O81" s="531"/>
      <c r="Q81" s="574">
        <f t="shared" si="5"/>
        <v>3067724.3000000003</v>
      </c>
      <c r="R81" s="544">
        <f t="shared" si="4"/>
        <v>3067724.3000000003</v>
      </c>
    </row>
    <row r="82" spans="1:18" x14ac:dyDescent="0.25">
      <c r="A82" s="528">
        <v>11</v>
      </c>
      <c r="B82" s="527" t="s">
        <v>230</v>
      </c>
      <c r="C82" s="528" t="s">
        <v>231</v>
      </c>
      <c r="D82" s="529">
        <v>10423112.100000001</v>
      </c>
      <c r="E82" s="551">
        <v>858865.25</v>
      </c>
      <c r="F82" s="547">
        <v>869504.11</v>
      </c>
      <c r="G82" s="547">
        <v>869504.11</v>
      </c>
      <c r="H82" s="547">
        <v>890806.34</v>
      </c>
      <c r="I82" s="546">
        <v>890806.34</v>
      </c>
      <c r="J82" s="546">
        <v>892399.18</v>
      </c>
      <c r="K82" s="549"/>
      <c r="L82" s="550"/>
      <c r="M82" s="550"/>
      <c r="N82" s="550"/>
      <c r="O82" s="531"/>
      <c r="Q82" s="574">
        <f t="shared" si="5"/>
        <v>5271885.3299999991</v>
      </c>
      <c r="R82" s="544">
        <f t="shared" si="4"/>
        <v>5271885.3299999991</v>
      </c>
    </row>
    <row r="83" spans="1:18" x14ac:dyDescent="0.25">
      <c r="A83" s="528">
        <v>12</v>
      </c>
      <c r="B83" s="527" t="s">
        <v>232</v>
      </c>
      <c r="C83" s="528" t="s">
        <v>233</v>
      </c>
      <c r="D83" s="529">
        <v>5952516.4199999999</v>
      </c>
      <c r="E83" s="551">
        <v>484859.99</v>
      </c>
      <c r="F83" s="547">
        <v>497059.68</v>
      </c>
      <c r="G83" s="547">
        <v>497059.68</v>
      </c>
      <c r="H83" s="547">
        <v>504701.18</v>
      </c>
      <c r="I83" s="546">
        <v>504701.18</v>
      </c>
      <c r="J83" s="546">
        <v>506490.84</v>
      </c>
      <c r="K83" s="549"/>
      <c r="L83" s="550"/>
      <c r="M83" s="550"/>
      <c r="N83" s="550"/>
      <c r="O83" s="531"/>
      <c r="Q83" s="574">
        <f t="shared" si="5"/>
        <v>2994872.55</v>
      </c>
      <c r="R83" s="544">
        <f t="shared" si="4"/>
        <v>2994872.55</v>
      </c>
    </row>
    <row r="84" spans="1:18" x14ac:dyDescent="0.25">
      <c r="A84" s="528">
        <v>13</v>
      </c>
      <c r="B84" s="527" t="s">
        <v>234</v>
      </c>
      <c r="C84" s="528" t="s">
        <v>235</v>
      </c>
      <c r="D84" s="529">
        <v>1095429.95</v>
      </c>
      <c r="E84" s="551">
        <v>90419.86</v>
      </c>
      <c r="F84" s="547">
        <v>91364.55</v>
      </c>
      <c r="G84" s="547">
        <v>91364.55</v>
      </c>
      <c r="H84" s="547">
        <v>93532.75</v>
      </c>
      <c r="I84" s="546">
        <v>93532.75</v>
      </c>
      <c r="J84" s="546">
        <v>93541.68</v>
      </c>
      <c r="K84" s="549"/>
      <c r="L84" s="550"/>
      <c r="M84" s="550"/>
      <c r="N84" s="550"/>
      <c r="O84" s="531"/>
      <c r="Q84" s="574">
        <f t="shared" si="5"/>
        <v>553756.14</v>
      </c>
      <c r="R84" s="544">
        <f t="shared" si="4"/>
        <v>553756.14</v>
      </c>
    </row>
    <row r="85" spans="1:18" x14ac:dyDescent="0.25">
      <c r="A85" s="528">
        <v>14</v>
      </c>
      <c r="B85" s="527">
        <v>3362</v>
      </c>
      <c r="C85" s="528" t="s">
        <v>314</v>
      </c>
      <c r="E85" s="551"/>
      <c r="F85" s="547"/>
      <c r="G85" s="547"/>
      <c r="H85" s="547">
        <v>152593</v>
      </c>
      <c r="I85" s="546">
        <v>152593</v>
      </c>
      <c r="J85" s="546">
        <v>152593</v>
      </c>
      <c r="K85" s="549"/>
      <c r="L85" s="550"/>
      <c r="M85" s="550"/>
      <c r="N85" s="550"/>
      <c r="O85" s="531"/>
      <c r="Q85" s="574">
        <f t="shared" si="5"/>
        <v>457779</v>
      </c>
      <c r="R85" s="544">
        <f t="shared" si="4"/>
        <v>457779</v>
      </c>
    </row>
    <row r="86" spans="1:18" x14ac:dyDescent="0.25">
      <c r="A86" s="528">
        <v>15</v>
      </c>
      <c r="B86" s="527" t="s">
        <v>236</v>
      </c>
      <c r="C86" s="528" t="s">
        <v>237</v>
      </c>
      <c r="D86" s="529">
        <v>9142489.2800000012</v>
      </c>
      <c r="E86" s="551">
        <v>750894</v>
      </c>
      <c r="F86" s="547">
        <v>762872.3</v>
      </c>
      <c r="G86" s="547">
        <v>762872.3</v>
      </c>
      <c r="H86" s="547">
        <v>765891.06</v>
      </c>
      <c r="I86" s="546">
        <v>765891.07</v>
      </c>
      <c r="J86" s="546">
        <v>765891.06</v>
      </c>
      <c r="K86" s="549"/>
      <c r="L86" s="550"/>
      <c r="M86" s="550"/>
      <c r="N86" s="550"/>
      <c r="O86" s="531"/>
      <c r="Q86" s="574">
        <f t="shared" si="5"/>
        <v>4574311.79</v>
      </c>
      <c r="R86" s="544">
        <f t="shared" si="4"/>
        <v>4574311.79</v>
      </c>
    </row>
    <row r="87" spans="1:18" x14ac:dyDescent="0.25">
      <c r="A87" s="528">
        <v>16</v>
      </c>
      <c r="B87" s="527" t="s">
        <v>238</v>
      </c>
      <c r="C87" s="528" t="s">
        <v>239</v>
      </c>
      <c r="D87" s="529">
        <v>2427071.44</v>
      </c>
      <c r="E87" s="551">
        <v>199480.37</v>
      </c>
      <c r="F87" s="547">
        <v>202508.28</v>
      </c>
      <c r="G87" s="547">
        <v>202508.28</v>
      </c>
      <c r="H87" s="547">
        <v>198960.42</v>
      </c>
      <c r="I87" s="546">
        <v>198960.42</v>
      </c>
      <c r="J87" s="546">
        <v>198960.42</v>
      </c>
      <c r="K87" s="549"/>
      <c r="L87" s="550"/>
      <c r="M87" s="550"/>
      <c r="N87" s="550"/>
      <c r="O87" s="531"/>
      <c r="Q87" s="574">
        <f t="shared" si="5"/>
        <v>1201378.1900000002</v>
      </c>
      <c r="R87" s="544">
        <f t="shared" si="4"/>
        <v>1201378.1900000002</v>
      </c>
    </row>
    <row r="88" spans="1:18" x14ac:dyDescent="0.25">
      <c r="A88" s="528">
        <v>17</v>
      </c>
      <c r="B88" s="527" t="s">
        <v>240</v>
      </c>
      <c r="C88" s="528" t="s">
        <v>241</v>
      </c>
      <c r="D88" s="557">
        <v>0</v>
      </c>
      <c r="E88" s="551"/>
      <c r="F88" s="547">
        <v>0</v>
      </c>
      <c r="G88" s="547"/>
      <c r="H88" s="547"/>
      <c r="I88" s="546"/>
      <c r="J88" s="546"/>
      <c r="K88" s="549"/>
      <c r="L88" s="550"/>
      <c r="M88" s="550"/>
      <c r="N88" s="550"/>
      <c r="O88" s="531"/>
      <c r="Q88" s="574">
        <f t="shared" si="5"/>
        <v>0</v>
      </c>
      <c r="R88" s="544">
        <f t="shared" si="4"/>
        <v>0</v>
      </c>
    </row>
    <row r="89" spans="1:18" x14ac:dyDescent="0.25">
      <c r="A89" s="528">
        <v>18</v>
      </c>
      <c r="B89" s="527" t="s">
        <v>242</v>
      </c>
      <c r="C89" s="528" t="s">
        <v>243</v>
      </c>
      <c r="D89" s="529">
        <v>1653077.94</v>
      </c>
      <c r="E89" s="551">
        <v>136646.84</v>
      </c>
      <c r="F89" s="547">
        <v>137857.37</v>
      </c>
      <c r="G89" s="547">
        <v>137857.37</v>
      </c>
      <c r="H89" s="547">
        <v>136608.79999999999</v>
      </c>
      <c r="I89" s="546">
        <v>136608.79999999999</v>
      </c>
      <c r="J89" s="546">
        <v>136608.79</v>
      </c>
      <c r="K89" s="549"/>
      <c r="L89" s="550"/>
      <c r="M89" s="550"/>
      <c r="N89" s="550"/>
      <c r="O89" s="531"/>
      <c r="Q89" s="574">
        <f t="shared" si="5"/>
        <v>822187.97</v>
      </c>
      <c r="R89" s="544">
        <f t="shared" si="4"/>
        <v>822187.97</v>
      </c>
    </row>
    <row r="90" spans="1:18" x14ac:dyDescent="0.25">
      <c r="A90" s="528">
        <v>19</v>
      </c>
      <c r="B90" s="527" t="s">
        <v>244</v>
      </c>
      <c r="C90" s="528" t="s">
        <v>245</v>
      </c>
      <c r="D90" s="529">
        <v>4417918.6399999997</v>
      </c>
      <c r="E90" s="551">
        <v>363962.87</v>
      </c>
      <c r="F90" s="547">
        <v>368541.43</v>
      </c>
      <c r="G90" s="547">
        <v>368541.43</v>
      </c>
      <c r="H90" s="547">
        <v>366702.21</v>
      </c>
      <c r="I90" s="546">
        <v>366702.21</v>
      </c>
      <c r="J90" s="546">
        <v>366702.21</v>
      </c>
      <c r="K90" s="549"/>
      <c r="L90" s="550"/>
      <c r="M90" s="550"/>
      <c r="N90" s="550"/>
      <c r="O90" s="531"/>
      <c r="Q90" s="574">
        <f t="shared" si="5"/>
        <v>2201152.36</v>
      </c>
      <c r="R90" s="544">
        <f t="shared" si="4"/>
        <v>2201152.36</v>
      </c>
    </row>
    <row r="91" spans="1:18" x14ac:dyDescent="0.25">
      <c r="A91" s="528">
        <v>20</v>
      </c>
      <c r="B91" s="527" t="s">
        <v>246</v>
      </c>
      <c r="C91" s="528" t="s">
        <v>247</v>
      </c>
      <c r="D91" s="529">
        <v>5867214.7299999995</v>
      </c>
      <c r="E91" s="551">
        <v>481353.82</v>
      </c>
      <c r="F91" s="547">
        <v>489623.72</v>
      </c>
      <c r="G91" s="547">
        <v>533385.66</v>
      </c>
      <c r="H91" s="547">
        <v>524600.61</v>
      </c>
      <c r="I91" s="546">
        <v>524600.61</v>
      </c>
      <c r="J91" s="546">
        <v>524600.6</v>
      </c>
      <c r="K91" s="549"/>
      <c r="L91" s="550"/>
      <c r="M91" s="550"/>
      <c r="N91" s="550"/>
      <c r="O91" s="531"/>
      <c r="Q91" s="574">
        <f t="shared" si="5"/>
        <v>3078165.02</v>
      </c>
      <c r="R91" s="544">
        <f t="shared" si="4"/>
        <v>3078165.02</v>
      </c>
    </row>
    <row r="92" spans="1:18" x14ac:dyDescent="0.25">
      <c r="A92" s="528">
        <v>21</v>
      </c>
      <c r="B92" s="527" t="s">
        <v>248</v>
      </c>
      <c r="C92" s="528" t="s">
        <v>249</v>
      </c>
      <c r="D92" s="529">
        <v>919769.33000000007</v>
      </c>
      <c r="E92" s="551">
        <v>75370.149999999994</v>
      </c>
      <c r="F92" s="547">
        <v>76763.56</v>
      </c>
      <c r="G92" s="547">
        <v>76763.56</v>
      </c>
      <c r="H92" s="547">
        <v>78174.02</v>
      </c>
      <c r="I92" s="546">
        <v>78174.02</v>
      </c>
      <c r="J92" s="546">
        <v>78174.02</v>
      </c>
      <c r="K92" s="549"/>
      <c r="L92" s="550"/>
      <c r="M92" s="550"/>
      <c r="N92" s="550"/>
      <c r="O92" s="531"/>
      <c r="Q92" s="574">
        <f t="shared" si="5"/>
        <v>463419.33</v>
      </c>
      <c r="R92" s="544">
        <f t="shared" si="4"/>
        <v>463419.33</v>
      </c>
    </row>
    <row r="93" spans="1:18" x14ac:dyDescent="0.25">
      <c r="A93" s="528">
        <v>22</v>
      </c>
      <c r="B93" s="527" t="s">
        <v>250</v>
      </c>
      <c r="C93" s="528" t="s">
        <v>251</v>
      </c>
      <c r="D93" s="529">
        <v>1132579.8100000003</v>
      </c>
      <c r="E93" s="551">
        <v>93540.76</v>
      </c>
      <c r="F93" s="547">
        <v>94458.1</v>
      </c>
      <c r="G93" s="547">
        <v>94458.1</v>
      </c>
      <c r="H93" s="547">
        <v>100055.2</v>
      </c>
      <c r="I93" s="546">
        <v>100055.2</v>
      </c>
      <c r="J93" s="546">
        <v>100047.91</v>
      </c>
      <c r="K93" s="549"/>
      <c r="L93" s="550"/>
      <c r="M93" s="550"/>
      <c r="N93" s="550"/>
      <c r="O93" s="531"/>
      <c r="Q93" s="574">
        <f t="shared" si="5"/>
        <v>582615.27</v>
      </c>
      <c r="R93" s="544">
        <f t="shared" si="4"/>
        <v>582615.27</v>
      </c>
    </row>
    <row r="94" spans="1:18" x14ac:dyDescent="0.25">
      <c r="A94" s="528">
        <v>23</v>
      </c>
      <c r="B94" s="527" t="s">
        <v>252</v>
      </c>
      <c r="C94" s="528" t="s">
        <v>253</v>
      </c>
      <c r="D94" s="529">
        <v>3550532.1600000006</v>
      </c>
      <c r="E94" s="551">
        <v>291401.55</v>
      </c>
      <c r="F94" s="547">
        <v>296284.59999999998</v>
      </c>
      <c r="G94" s="547">
        <v>298028.7</v>
      </c>
      <c r="H94" s="547">
        <v>307696.18</v>
      </c>
      <c r="I94" s="546">
        <v>307696.18</v>
      </c>
      <c r="J94" s="546">
        <v>307696.17</v>
      </c>
      <c r="K94" s="549"/>
      <c r="L94" s="550"/>
      <c r="M94" s="550"/>
      <c r="N94" s="550"/>
      <c r="O94" s="531"/>
      <c r="Q94" s="574">
        <f t="shared" si="5"/>
        <v>1808803.3799999997</v>
      </c>
      <c r="R94" s="544">
        <f t="shared" si="4"/>
        <v>1808803.3799999997</v>
      </c>
    </row>
    <row r="95" spans="1:18" x14ac:dyDescent="0.25">
      <c r="A95" s="528">
        <v>24</v>
      </c>
      <c r="B95" s="527" t="s">
        <v>254</v>
      </c>
      <c r="C95" s="528" t="s">
        <v>255</v>
      </c>
      <c r="D95" s="529">
        <v>3434816.54</v>
      </c>
      <c r="E95" s="551">
        <v>282765.64</v>
      </c>
      <c r="F95" s="547">
        <v>286550.08</v>
      </c>
      <c r="G95" s="547">
        <v>286550.08</v>
      </c>
      <c r="H95" s="547">
        <v>287180.12</v>
      </c>
      <c r="I95" s="546">
        <v>287180.12</v>
      </c>
      <c r="J95" s="546">
        <v>287180.12</v>
      </c>
      <c r="K95" s="549"/>
      <c r="L95" s="550"/>
      <c r="M95" s="550"/>
      <c r="N95" s="550"/>
      <c r="O95" s="531"/>
      <c r="Q95" s="574">
        <f t="shared" si="5"/>
        <v>1717406.1600000001</v>
      </c>
      <c r="R95" s="544">
        <f t="shared" si="4"/>
        <v>1717406.1600000001</v>
      </c>
    </row>
    <row r="96" spans="1:18" x14ac:dyDescent="0.25">
      <c r="A96" s="528">
        <v>25</v>
      </c>
      <c r="B96" s="527" t="s">
        <v>256</v>
      </c>
      <c r="C96" s="528" t="s">
        <v>257</v>
      </c>
      <c r="D96" s="529">
        <v>3841654.26</v>
      </c>
      <c r="E96" s="551">
        <v>318686.65000000002</v>
      </c>
      <c r="F96" s="547">
        <v>320269.78000000003</v>
      </c>
      <c r="G96" s="547">
        <v>322019.77</v>
      </c>
      <c r="H96" s="547">
        <v>365620.49</v>
      </c>
      <c r="I96" s="546">
        <v>365620.49</v>
      </c>
      <c r="J96" s="546">
        <v>365620.49</v>
      </c>
      <c r="K96" s="549"/>
      <c r="L96" s="550"/>
      <c r="M96" s="550"/>
      <c r="N96" s="550"/>
      <c r="O96" s="531"/>
      <c r="Q96" s="574">
        <f t="shared" si="5"/>
        <v>2057837.67</v>
      </c>
      <c r="R96" s="544">
        <f t="shared" si="4"/>
        <v>2057837.67</v>
      </c>
    </row>
    <row r="97" spans="1:18" x14ac:dyDescent="0.25">
      <c r="A97" s="528">
        <v>26</v>
      </c>
      <c r="B97" s="527" t="s">
        <v>258</v>
      </c>
      <c r="C97" s="528" t="s">
        <v>259</v>
      </c>
      <c r="D97" s="529">
        <v>8841825.3200000003</v>
      </c>
      <c r="E97" s="551">
        <v>727291.13</v>
      </c>
      <c r="F97" s="547">
        <v>737684.93</v>
      </c>
      <c r="G97" s="547">
        <v>737684.93</v>
      </c>
      <c r="H97" s="547">
        <v>725549.97</v>
      </c>
      <c r="I97" s="546">
        <v>725549.97</v>
      </c>
      <c r="J97" s="546">
        <v>725549.97</v>
      </c>
      <c r="K97" s="549"/>
      <c r="L97" s="550"/>
      <c r="M97" s="550"/>
      <c r="N97" s="550"/>
      <c r="O97" s="531"/>
      <c r="Q97" s="574">
        <f t="shared" si="5"/>
        <v>4379310.8999999994</v>
      </c>
      <c r="R97" s="544">
        <f t="shared" si="4"/>
        <v>4379310.8999999994</v>
      </c>
    </row>
    <row r="98" spans="1:18" x14ac:dyDescent="0.25">
      <c r="A98" s="528">
        <v>27</v>
      </c>
      <c r="B98" s="527">
        <v>3441</v>
      </c>
      <c r="C98" s="528" t="s">
        <v>260</v>
      </c>
      <c r="D98" s="529">
        <v>4458303.79</v>
      </c>
      <c r="E98" s="551">
        <v>365051.77</v>
      </c>
      <c r="F98" s="547">
        <v>372113.82</v>
      </c>
      <c r="G98" s="547">
        <v>380953.21</v>
      </c>
      <c r="H98" s="547">
        <v>387823.98</v>
      </c>
      <c r="I98" s="546">
        <v>387823.98</v>
      </c>
      <c r="J98" s="546">
        <v>387823.98</v>
      </c>
      <c r="K98" s="549"/>
      <c r="L98" s="550"/>
      <c r="M98" s="550"/>
      <c r="N98" s="550"/>
      <c r="O98" s="531"/>
      <c r="Q98" s="574">
        <f t="shared" si="5"/>
        <v>2281590.7400000002</v>
      </c>
      <c r="R98" s="544">
        <f t="shared" si="4"/>
        <v>2281590.7400000002</v>
      </c>
    </row>
    <row r="99" spans="1:18" x14ac:dyDescent="0.25">
      <c r="A99" s="528">
        <v>28</v>
      </c>
      <c r="B99" s="527">
        <v>3924</v>
      </c>
      <c r="C99" s="528" t="s">
        <v>261</v>
      </c>
      <c r="D99" s="529">
        <v>3693471.08</v>
      </c>
      <c r="E99" s="551">
        <v>303122.37</v>
      </c>
      <c r="F99" s="547">
        <v>308213.52</v>
      </c>
      <c r="G99" s="547">
        <v>309424.3</v>
      </c>
      <c r="H99" s="547">
        <v>306743.77</v>
      </c>
      <c r="I99" s="546">
        <v>306743.77</v>
      </c>
      <c r="J99" s="546">
        <v>306743.77</v>
      </c>
      <c r="K99" s="549"/>
      <c r="L99" s="550"/>
      <c r="M99" s="550"/>
      <c r="N99" s="550"/>
      <c r="O99" s="531"/>
      <c r="Q99" s="574">
        <f t="shared" si="5"/>
        <v>1840991.5</v>
      </c>
      <c r="R99" s="544">
        <f t="shared" si="4"/>
        <v>1840991.5</v>
      </c>
    </row>
    <row r="100" spans="1:18" x14ac:dyDescent="0.25">
      <c r="A100" s="528">
        <v>29</v>
      </c>
      <c r="B100" s="527" t="s">
        <v>262</v>
      </c>
      <c r="C100" s="528" t="s">
        <v>263</v>
      </c>
      <c r="D100" s="529">
        <v>2020244.56</v>
      </c>
      <c r="E100" s="551">
        <v>166503.70000000001</v>
      </c>
      <c r="F100" s="547">
        <v>168521.9</v>
      </c>
      <c r="G100" s="547">
        <v>168521.9</v>
      </c>
      <c r="H100" s="547">
        <v>168880.64000000001</v>
      </c>
      <c r="I100" s="546">
        <v>168880.64000000001</v>
      </c>
      <c r="J100" s="546">
        <v>168880.64000000001</v>
      </c>
      <c r="K100" s="549"/>
      <c r="L100" s="550"/>
      <c r="M100" s="550"/>
      <c r="N100" s="550"/>
      <c r="O100" s="531"/>
      <c r="Q100" s="574">
        <f t="shared" si="5"/>
        <v>1010189.42</v>
      </c>
      <c r="R100" s="544">
        <f t="shared" si="4"/>
        <v>1010189.42</v>
      </c>
    </row>
    <row r="101" spans="1:18" x14ac:dyDescent="0.25">
      <c r="A101" s="528">
        <v>30</v>
      </c>
      <c r="B101" s="527" t="s">
        <v>264</v>
      </c>
      <c r="C101" s="528" t="s">
        <v>265</v>
      </c>
      <c r="D101" s="561">
        <v>0</v>
      </c>
      <c r="E101" s="562"/>
      <c r="F101" s="547">
        <v>0</v>
      </c>
      <c r="G101" s="547"/>
      <c r="H101" s="547"/>
      <c r="I101" s="546"/>
      <c r="J101" s="546"/>
      <c r="K101" s="549"/>
      <c r="L101" s="550"/>
      <c r="M101" s="550"/>
      <c r="N101" s="550"/>
      <c r="O101" s="531"/>
      <c r="Q101" s="574">
        <f t="shared" si="5"/>
        <v>0</v>
      </c>
      <c r="R101" s="544">
        <f t="shared" si="4"/>
        <v>0</v>
      </c>
    </row>
    <row r="102" spans="1:18" x14ac:dyDescent="0.25">
      <c r="A102" s="528">
        <v>31</v>
      </c>
      <c r="B102" s="527" t="s">
        <v>266</v>
      </c>
      <c r="C102" s="528" t="s">
        <v>429</v>
      </c>
      <c r="D102" s="529">
        <v>5099211.84</v>
      </c>
      <c r="E102" s="551">
        <v>418200.93</v>
      </c>
      <c r="F102" s="547">
        <v>425546.45</v>
      </c>
      <c r="G102" s="547">
        <v>426358.86</v>
      </c>
      <c r="H102" s="547">
        <v>468192.65</v>
      </c>
      <c r="I102" s="546">
        <v>468192.65</v>
      </c>
      <c r="J102" s="546">
        <v>468192.64</v>
      </c>
      <c r="K102" s="549"/>
      <c r="L102" s="550"/>
      <c r="M102" s="550"/>
      <c r="N102" s="550"/>
      <c r="O102" s="531"/>
      <c r="Q102" s="574">
        <f>SUM(E102:P102)</f>
        <v>2674684.1800000002</v>
      </c>
      <c r="R102" s="544">
        <f t="shared" si="4"/>
        <v>2674684.1800000002</v>
      </c>
    </row>
    <row r="103" spans="1:18" x14ac:dyDescent="0.25">
      <c r="A103" s="528">
        <v>32</v>
      </c>
      <c r="B103" s="527" t="s">
        <v>268</v>
      </c>
      <c r="C103" s="528" t="s">
        <v>269</v>
      </c>
      <c r="D103" s="529">
        <v>5914578.1399999997</v>
      </c>
      <c r="E103" s="551">
        <v>486040.8</v>
      </c>
      <c r="F103" s="547">
        <v>493503.39</v>
      </c>
      <c r="G103" s="547">
        <v>493503.4</v>
      </c>
      <c r="H103" s="547">
        <v>492923.41</v>
      </c>
      <c r="I103" s="546">
        <v>492923.41</v>
      </c>
      <c r="J103" s="546">
        <v>492923.41</v>
      </c>
      <c r="K103" s="549"/>
      <c r="L103" s="550"/>
      <c r="M103" s="550"/>
      <c r="N103" s="550"/>
      <c r="O103" s="531"/>
      <c r="Q103" s="574">
        <f t="shared" si="5"/>
        <v>2951817.82</v>
      </c>
      <c r="R103" s="544">
        <f t="shared" si="4"/>
        <v>2951817.82</v>
      </c>
    </row>
    <row r="104" spans="1:18" x14ac:dyDescent="0.25">
      <c r="A104" s="528">
        <v>33</v>
      </c>
      <c r="B104" s="527">
        <v>4002</v>
      </c>
      <c r="C104" s="528" t="s">
        <v>270</v>
      </c>
      <c r="D104" s="529">
        <v>8574250.8399999999</v>
      </c>
      <c r="E104" s="551">
        <v>707326.89</v>
      </c>
      <c r="F104" s="547">
        <v>715174.9</v>
      </c>
      <c r="G104" s="547">
        <v>715174.91</v>
      </c>
      <c r="H104" s="547">
        <v>708965.29</v>
      </c>
      <c r="I104" s="546">
        <v>708965.29</v>
      </c>
      <c r="J104" s="546">
        <v>708965.29</v>
      </c>
      <c r="K104" s="549"/>
      <c r="L104" s="550"/>
      <c r="M104" s="550"/>
      <c r="N104" s="550"/>
      <c r="O104" s="531"/>
      <c r="Q104" s="574">
        <f t="shared" si="5"/>
        <v>4264572.57</v>
      </c>
      <c r="R104" s="544">
        <f t="shared" si="4"/>
        <v>4264572.57</v>
      </c>
    </row>
    <row r="105" spans="1:18" x14ac:dyDescent="0.25">
      <c r="A105" s="528">
        <v>34</v>
      </c>
      <c r="B105" s="527">
        <v>4012</v>
      </c>
      <c r="C105" s="528" t="s">
        <v>271</v>
      </c>
      <c r="D105" s="529">
        <v>4904770.5200000005</v>
      </c>
      <c r="E105" s="551">
        <v>401311.12</v>
      </c>
      <c r="F105" s="547">
        <v>409405.4</v>
      </c>
      <c r="G105" s="547">
        <v>417398.36</v>
      </c>
      <c r="H105" s="547">
        <v>416469.55</v>
      </c>
      <c r="I105" s="546">
        <v>416469.55</v>
      </c>
      <c r="J105" s="546">
        <v>416469.55</v>
      </c>
      <c r="K105" s="549"/>
      <c r="L105" s="550"/>
      <c r="M105" s="550"/>
      <c r="N105" s="550"/>
      <c r="O105" s="531"/>
      <c r="Q105" s="574">
        <f t="shared" si="5"/>
        <v>2477523.5299999998</v>
      </c>
      <c r="R105" s="544">
        <f t="shared" si="4"/>
        <v>2477523.5299999998</v>
      </c>
    </row>
    <row r="106" spans="1:18" x14ac:dyDescent="0.25">
      <c r="A106" s="528">
        <v>35</v>
      </c>
      <c r="B106" s="527">
        <v>4013</v>
      </c>
      <c r="C106" s="528" t="s">
        <v>272</v>
      </c>
      <c r="D106" s="529">
        <v>8119848.8800000008</v>
      </c>
      <c r="E106" s="551">
        <v>667648.91</v>
      </c>
      <c r="F106" s="547">
        <v>677472.72</v>
      </c>
      <c r="G106" s="547">
        <v>795258.27</v>
      </c>
      <c r="H106" s="547">
        <v>786596.81</v>
      </c>
      <c r="I106" s="546">
        <v>786596.81</v>
      </c>
      <c r="J106" s="546">
        <v>786596.81</v>
      </c>
      <c r="K106" s="549"/>
      <c r="L106" s="550"/>
      <c r="M106" s="550"/>
      <c r="N106" s="550"/>
      <c r="O106" s="531"/>
      <c r="Q106" s="574">
        <f t="shared" si="5"/>
        <v>4500170.33</v>
      </c>
      <c r="R106" s="544">
        <f t="shared" si="4"/>
        <v>4500170.33</v>
      </c>
    </row>
    <row r="107" spans="1:18" x14ac:dyDescent="0.25">
      <c r="A107" s="528">
        <v>36</v>
      </c>
      <c r="B107" s="527">
        <v>4020</v>
      </c>
      <c r="C107" s="528" t="s">
        <v>273</v>
      </c>
      <c r="D107" s="529">
        <v>10867277.120000001</v>
      </c>
      <c r="E107" s="551">
        <v>892802.19</v>
      </c>
      <c r="F107" s="547">
        <v>906770.45</v>
      </c>
      <c r="G107" s="547">
        <v>906770.45</v>
      </c>
      <c r="H107" s="547">
        <v>899763.33</v>
      </c>
      <c r="I107" s="546">
        <v>899763.33</v>
      </c>
      <c r="J107" s="546">
        <v>899763.33</v>
      </c>
      <c r="K107" s="549"/>
      <c r="L107" s="550"/>
      <c r="M107" s="550"/>
      <c r="N107" s="550"/>
      <c r="O107" s="531"/>
      <c r="Q107" s="574">
        <f t="shared" si="5"/>
        <v>5405633.0800000001</v>
      </c>
      <c r="R107" s="544">
        <f t="shared" si="4"/>
        <v>5405633.0800000001</v>
      </c>
    </row>
    <row r="108" spans="1:18" x14ac:dyDescent="0.25">
      <c r="A108" s="528">
        <v>37</v>
      </c>
      <c r="B108" s="527">
        <v>4030</v>
      </c>
      <c r="C108" s="528" t="s">
        <v>274</v>
      </c>
      <c r="D108" s="529">
        <v>2619365.38</v>
      </c>
      <c r="E108" s="551">
        <v>216879.02</v>
      </c>
      <c r="F108" s="547">
        <v>218407.85</v>
      </c>
      <c r="G108" s="547">
        <v>218407.85</v>
      </c>
      <c r="H108" s="547">
        <v>217485.59</v>
      </c>
      <c r="I108" s="546">
        <v>217485.59</v>
      </c>
      <c r="J108" s="546">
        <v>217485.59</v>
      </c>
      <c r="K108" s="549"/>
      <c r="L108" s="550"/>
      <c r="M108" s="550"/>
      <c r="N108" s="550"/>
      <c r="O108" s="531"/>
      <c r="Q108" s="574">
        <f t="shared" si="5"/>
        <v>1306151.49</v>
      </c>
      <c r="R108" s="544">
        <f t="shared" si="4"/>
        <v>1306151.49</v>
      </c>
    </row>
    <row r="109" spans="1:18" x14ac:dyDescent="0.25">
      <c r="A109" s="528">
        <v>38</v>
      </c>
      <c r="B109" s="527">
        <v>4031</v>
      </c>
      <c r="C109" s="528" t="s">
        <v>275</v>
      </c>
      <c r="D109" s="529">
        <v>3914815.85</v>
      </c>
      <c r="E109" s="551">
        <v>322483.34000000003</v>
      </c>
      <c r="F109" s="547">
        <v>326575.68</v>
      </c>
      <c r="G109" s="547">
        <v>326575.68</v>
      </c>
      <c r="H109" s="547">
        <v>319995.15999999997</v>
      </c>
      <c r="I109" s="546">
        <v>319995.15999999997</v>
      </c>
      <c r="J109" s="546">
        <v>319995.15999999997</v>
      </c>
      <c r="K109" s="549"/>
      <c r="L109" s="550"/>
      <c r="M109" s="550"/>
      <c r="N109" s="550"/>
      <c r="O109" s="531"/>
      <c r="Q109" s="574">
        <f t="shared" si="5"/>
        <v>1935620.1799999997</v>
      </c>
      <c r="R109" s="544">
        <f t="shared" si="4"/>
        <v>1935620.1799999997</v>
      </c>
    </row>
    <row r="110" spans="1:18" x14ac:dyDescent="0.25">
      <c r="A110" s="528">
        <v>39</v>
      </c>
      <c r="B110" s="527">
        <v>4041</v>
      </c>
      <c r="C110" s="528" t="s">
        <v>276</v>
      </c>
      <c r="D110" s="529">
        <v>775960.87</v>
      </c>
      <c r="E110" s="551">
        <v>63488.77</v>
      </c>
      <c r="F110" s="547">
        <v>64770.19</v>
      </c>
      <c r="G110" s="547">
        <v>64770.19</v>
      </c>
      <c r="H110" s="547">
        <v>64613.31</v>
      </c>
      <c r="I110" s="546">
        <v>64613.31</v>
      </c>
      <c r="J110" s="546">
        <v>64613.31</v>
      </c>
      <c r="K110" s="549"/>
      <c r="L110" s="550"/>
      <c r="M110" s="550"/>
      <c r="N110" s="550"/>
      <c r="O110" s="531"/>
      <c r="Q110" s="574">
        <f t="shared" si="5"/>
        <v>386869.08</v>
      </c>
      <c r="R110" s="544">
        <f t="shared" si="4"/>
        <v>386869.08</v>
      </c>
    </row>
    <row r="111" spans="1:18" x14ac:dyDescent="0.25">
      <c r="A111" s="528">
        <v>40</v>
      </c>
      <c r="B111" s="527">
        <v>4050</v>
      </c>
      <c r="C111" s="528" t="s">
        <v>277</v>
      </c>
      <c r="D111" s="529">
        <v>6227871.4299999988</v>
      </c>
      <c r="E111" s="551">
        <v>512294.34</v>
      </c>
      <c r="F111" s="547">
        <v>519597.92</v>
      </c>
      <c r="G111" s="547">
        <v>519597.92</v>
      </c>
      <c r="H111" s="547">
        <v>511250.04</v>
      </c>
      <c r="I111" s="546">
        <v>511250.04</v>
      </c>
      <c r="J111" s="546">
        <v>511250.04</v>
      </c>
      <c r="K111" s="549"/>
      <c r="L111" s="550"/>
      <c r="M111" s="550"/>
      <c r="N111" s="550"/>
      <c r="O111" s="531"/>
      <c r="Q111" s="574">
        <f t="shared" si="5"/>
        <v>3085240.3</v>
      </c>
      <c r="R111" s="544">
        <f t="shared" si="4"/>
        <v>3085240.3</v>
      </c>
    </row>
    <row r="112" spans="1:18" x14ac:dyDescent="0.25">
      <c r="A112" s="528">
        <v>41</v>
      </c>
      <c r="B112" s="527">
        <v>4051</v>
      </c>
      <c r="C112" s="528" t="s">
        <v>278</v>
      </c>
      <c r="D112" s="529">
        <v>6573895.1500000013</v>
      </c>
      <c r="E112" s="551">
        <v>541173.16</v>
      </c>
      <c r="F112" s="547">
        <v>548429.27</v>
      </c>
      <c r="G112" s="547">
        <v>548429.27</v>
      </c>
      <c r="H112" s="547">
        <v>533809.19999999995</v>
      </c>
      <c r="I112" s="546">
        <v>533809.19999999995</v>
      </c>
      <c r="J112" s="546">
        <v>533809.19999999995</v>
      </c>
      <c r="K112" s="549"/>
      <c r="L112" s="550"/>
      <c r="M112" s="550"/>
      <c r="N112" s="550"/>
      <c r="O112" s="531"/>
      <c r="Q112" s="574">
        <f t="shared" si="5"/>
        <v>3239459.3000000007</v>
      </c>
      <c r="R112" s="544">
        <f t="shared" si="4"/>
        <v>3239459.3000000007</v>
      </c>
    </row>
    <row r="113" spans="1:18" x14ac:dyDescent="0.25">
      <c r="A113" s="528">
        <v>42</v>
      </c>
      <c r="B113" s="527">
        <v>4061</v>
      </c>
      <c r="C113" s="528" t="s">
        <v>279</v>
      </c>
      <c r="D113" s="529">
        <v>8356896.4500000002</v>
      </c>
      <c r="E113" s="551">
        <v>686342</v>
      </c>
      <c r="F113" s="547">
        <v>697323.13</v>
      </c>
      <c r="G113" s="547">
        <v>697323.13</v>
      </c>
      <c r="H113" s="547">
        <v>697798.89</v>
      </c>
      <c r="I113" s="546">
        <v>697798.89</v>
      </c>
      <c r="J113" s="546">
        <v>697798.89</v>
      </c>
      <c r="K113" s="549"/>
      <c r="L113" s="550"/>
      <c r="M113" s="550"/>
      <c r="N113" s="550"/>
      <c r="O113" s="531"/>
      <c r="Q113" s="574">
        <f t="shared" si="5"/>
        <v>4174384.93</v>
      </c>
      <c r="R113" s="544">
        <f t="shared" si="4"/>
        <v>4174384.93</v>
      </c>
    </row>
    <row r="114" spans="1:18" x14ac:dyDescent="0.25">
      <c r="A114" s="528">
        <v>43</v>
      </c>
      <c r="B114" s="527">
        <v>4080</v>
      </c>
      <c r="C114" s="528" t="s">
        <v>280</v>
      </c>
      <c r="D114" s="529">
        <v>166059.87</v>
      </c>
      <c r="E114" s="562">
        <v>166059.87</v>
      </c>
      <c r="F114" s="547">
        <v>0</v>
      </c>
      <c r="G114" s="547"/>
      <c r="H114" s="547"/>
      <c r="I114" s="546"/>
      <c r="J114" s="546"/>
      <c r="K114" s="549"/>
      <c r="L114" s="550"/>
      <c r="M114" s="550"/>
      <c r="N114" s="550"/>
      <c r="O114" s="531"/>
      <c r="Q114" s="574">
        <f>SUM(E114:P114)</f>
        <v>166059.87</v>
      </c>
      <c r="R114" s="544">
        <f t="shared" si="4"/>
        <v>166059.87</v>
      </c>
    </row>
    <row r="115" spans="1:18" x14ac:dyDescent="0.25">
      <c r="A115" s="528">
        <v>44</v>
      </c>
      <c r="B115" s="527">
        <v>4081</v>
      </c>
      <c r="C115" s="528" t="s">
        <v>281</v>
      </c>
      <c r="D115" s="529">
        <v>1014899.57</v>
      </c>
      <c r="E115" s="551">
        <v>83555.86</v>
      </c>
      <c r="F115" s="547">
        <v>84667.61</v>
      </c>
      <c r="G115" s="547">
        <v>84667.61</v>
      </c>
      <c r="H115" s="547">
        <v>86139.09</v>
      </c>
      <c r="I115" s="546">
        <v>86139.09</v>
      </c>
      <c r="J115" s="546">
        <v>86139.09</v>
      </c>
      <c r="K115" s="549"/>
      <c r="L115" s="550"/>
      <c r="M115" s="550"/>
      <c r="N115" s="550"/>
      <c r="O115" s="531"/>
      <c r="Q115" s="574">
        <f t="shared" si="5"/>
        <v>511308.35</v>
      </c>
      <c r="R115" s="544">
        <f t="shared" si="4"/>
        <v>511308.35</v>
      </c>
    </row>
    <row r="116" spans="1:18" x14ac:dyDescent="0.25">
      <c r="A116" s="528">
        <v>45</v>
      </c>
      <c r="B116" s="527">
        <v>4090</v>
      </c>
      <c r="C116" s="528" t="s">
        <v>282</v>
      </c>
      <c r="D116" s="529">
        <v>2220850.8499999996</v>
      </c>
      <c r="E116" s="551">
        <v>182095.15</v>
      </c>
      <c r="F116" s="547">
        <v>185341.43</v>
      </c>
      <c r="G116" s="547">
        <v>185341.43</v>
      </c>
      <c r="H116" s="547">
        <v>209719.73</v>
      </c>
      <c r="I116" s="546">
        <v>209719.73</v>
      </c>
      <c r="J116" s="546">
        <v>209719.73</v>
      </c>
      <c r="K116" s="549"/>
      <c r="L116" s="550"/>
      <c r="M116" s="550"/>
      <c r="N116" s="550"/>
      <c r="O116" s="531"/>
      <c r="Q116" s="574">
        <f t="shared" si="5"/>
        <v>1181937.2</v>
      </c>
      <c r="R116" s="544">
        <f t="shared" si="4"/>
        <v>1181937.2</v>
      </c>
    </row>
    <row r="117" spans="1:18" x14ac:dyDescent="0.25">
      <c r="A117" s="528">
        <v>46</v>
      </c>
      <c r="B117" s="527">
        <v>4091</v>
      </c>
      <c r="C117" s="528" t="s">
        <v>283</v>
      </c>
      <c r="D117" s="529">
        <v>3463844.94</v>
      </c>
      <c r="E117" s="551">
        <v>285991.09999999998</v>
      </c>
      <c r="F117" s="547">
        <v>288895.8</v>
      </c>
      <c r="G117" s="547">
        <v>288895.8</v>
      </c>
      <c r="H117" s="547">
        <v>283969.88</v>
      </c>
      <c r="I117" s="546">
        <v>283969.88</v>
      </c>
      <c r="J117" s="546">
        <v>283969.88</v>
      </c>
      <c r="K117" s="549"/>
      <c r="L117" s="550"/>
      <c r="M117" s="550"/>
      <c r="N117" s="550"/>
      <c r="O117" s="531"/>
      <c r="Q117" s="574">
        <f t="shared" si="5"/>
        <v>1715692.3399999999</v>
      </c>
      <c r="R117" s="544">
        <f t="shared" si="4"/>
        <v>1715692.3399999999</v>
      </c>
    </row>
    <row r="118" spans="1:18" x14ac:dyDescent="0.25">
      <c r="A118" s="528">
        <v>47</v>
      </c>
      <c r="B118" s="527">
        <v>4100</v>
      </c>
      <c r="C118" s="528" t="s">
        <v>284</v>
      </c>
      <c r="D118" s="529">
        <v>3845172.95</v>
      </c>
      <c r="E118" s="551">
        <v>312807.54399999999</v>
      </c>
      <c r="F118" s="547">
        <v>321124.13</v>
      </c>
      <c r="G118" s="547">
        <v>321124.13</v>
      </c>
      <c r="H118" s="547">
        <f>275467.04+45657.09</f>
        <v>321124.13</v>
      </c>
      <c r="I118" s="546">
        <v>321189.65000000002</v>
      </c>
      <c r="J118" s="546">
        <v>322316.15000000002</v>
      </c>
      <c r="K118" s="549"/>
      <c r="L118" s="550"/>
      <c r="M118" s="550"/>
      <c r="N118" s="550"/>
      <c r="O118" s="531"/>
      <c r="Q118" s="574">
        <f t="shared" si="5"/>
        <v>1919685.7339999997</v>
      </c>
      <c r="R118" s="544">
        <f t="shared" si="4"/>
        <v>1919685.7339999997</v>
      </c>
    </row>
    <row r="119" spans="1:18" x14ac:dyDescent="0.25">
      <c r="A119" s="528">
        <v>48</v>
      </c>
      <c r="B119" s="527">
        <v>4102</v>
      </c>
      <c r="C119" s="528" t="s">
        <v>285</v>
      </c>
      <c r="D119" s="561">
        <v>1168940.7700000003</v>
      </c>
      <c r="E119" s="562">
        <v>95722.880000000005</v>
      </c>
      <c r="F119" s="547">
        <v>97565.26</v>
      </c>
      <c r="G119" s="547">
        <v>129838.42</v>
      </c>
      <c r="H119" s="547">
        <v>129838.42</v>
      </c>
      <c r="I119" s="546">
        <v>129838.42</v>
      </c>
      <c r="J119" s="546">
        <v>129838.41</v>
      </c>
      <c r="K119" s="549">
        <v>0</v>
      </c>
      <c r="L119" s="550">
        <v>0</v>
      </c>
      <c r="M119" s="550"/>
      <c r="N119" s="550"/>
      <c r="O119" s="531">
        <v>0</v>
      </c>
      <c r="P119" s="531">
        <v>0</v>
      </c>
      <c r="Q119" s="574">
        <f t="shared" si="5"/>
        <v>712641.81</v>
      </c>
      <c r="R119" s="544">
        <f t="shared" si="4"/>
        <v>712641.81</v>
      </c>
    </row>
    <row r="120" spans="1:18" x14ac:dyDescent="0.25">
      <c r="A120" s="528">
        <v>49</v>
      </c>
      <c r="B120" s="527">
        <v>4103</v>
      </c>
      <c r="C120" s="528" t="s">
        <v>286</v>
      </c>
      <c r="D120" s="529">
        <v>8031180.3499999996</v>
      </c>
      <c r="E120" s="551">
        <v>660664.68999999994</v>
      </c>
      <c r="F120" s="547">
        <v>670046.88</v>
      </c>
      <c r="G120" s="547">
        <v>702200.36</v>
      </c>
      <c r="H120" s="547">
        <v>698845.87</v>
      </c>
      <c r="I120" s="546">
        <v>698845.87</v>
      </c>
      <c r="J120" s="546">
        <v>698845.86</v>
      </c>
      <c r="K120" s="549"/>
      <c r="L120" s="550"/>
      <c r="M120" s="550"/>
      <c r="N120" s="550"/>
      <c r="O120" s="531"/>
      <c r="Q120" s="544">
        <f t="shared" si="5"/>
        <v>4129449.53</v>
      </c>
      <c r="R120" s="544">
        <f t="shared" si="4"/>
        <v>4129449.53</v>
      </c>
    </row>
    <row r="121" spans="1:18" x14ac:dyDescent="0.25">
      <c r="A121" s="528">
        <v>50</v>
      </c>
      <c r="B121" s="527">
        <v>4111</v>
      </c>
      <c r="C121" s="528" t="s">
        <v>287</v>
      </c>
      <c r="D121" s="529">
        <v>2429371.5800000005</v>
      </c>
      <c r="E121" s="551">
        <v>200228.99</v>
      </c>
      <c r="F121" s="547">
        <v>202649.33</v>
      </c>
      <c r="G121" s="547">
        <v>205064.94</v>
      </c>
      <c r="H121" s="547">
        <v>205425.31</v>
      </c>
      <c r="I121" s="546">
        <v>205425.31</v>
      </c>
      <c r="J121" s="546">
        <v>205425.31</v>
      </c>
      <c r="K121" s="549"/>
      <c r="L121" s="550"/>
      <c r="M121" s="550"/>
      <c r="N121" s="550"/>
      <c r="O121" s="531"/>
      <c r="Q121" s="544">
        <f t="shared" si="5"/>
        <v>1224219.1900000002</v>
      </c>
      <c r="R121" s="544">
        <f t="shared" si="4"/>
        <v>1224219.1900000002</v>
      </c>
    </row>
    <row r="122" spans="1:18" x14ac:dyDescent="0.25">
      <c r="A122" s="528">
        <v>51</v>
      </c>
      <c r="B122" s="527">
        <v>4131</v>
      </c>
      <c r="C122" s="528" t="s">
        <v>288</v>
      </c>
      <c r="D122" s="529">
        <v>803834.34000000008</v>
      </c>
      <c r="E122" s="551">
        <v>66112.399999999994</v>
      </c>
      <c r="F122" s="547">
        <v>67065.63</v>
      </c>
      <c r="G122" s="547">
        <v>67991.27</v>
      </c>
      <c r="H122" s="547">
        <v>67799.25</v>
      </c>
      <c r="I122" s="546">
        <v>67799.25</v>
      </c>
      <c r="J122" s="546">
        <v>67799.240000000005</v>
      </c>
      <c r="K122" s="549"/>
      <c r="L122" s="550"/>
      <c r="M122" s="550"/>
      <c r="N122" s="550"/>
      <c r="O122" s="531"/>
      <c r="Q122" s="544">
        <f t="shared" si="5"/>
        <v>404567.03999999998</v>
      </c>
      <c r="R122" s="544">
        <f t="shared" si="4"/>
        <v>404567.03999999998</v>
      </c>
    </row>
    <row r="123" spans="1:18" x14ac:dyDescent="0.25">
      <c r="E123" s="545"/>
    </row>
    <row r="124" spans="1:18" x14ac:dyDescent="0.25">
      <c r="E124" s="545"/>
    </row>
    <row r="125" spans="1:18" x14ac:dyDescent="0.25">
      <c r="E125" s="545"/>
    </row>
    <row r="126" spans="1:18" x14ac:dyDescent="0.25">
      <c r="D126" s="529">
        <f>SUM(D72:D123)</f>
        <v>203812569.47000003</v>
      </c>
      <c r="E126" s="529">
        <f>SUM(E72:E123)</f>
        <v>16906713.023999993</v>
      </c>
      <c r="F126" s="529">
        <f>SUM(F75:F123)</f>
        <v>16944328.249999996</v>
      </c>
      <c r="G126" s="529">
        <f>SUM(G72:G123)</f>
        <v>17480699.379999999</v>
      </c>
      <c r="H126" s="529">
        <f>SUM(H72:H123)</f>
        <v>17767778.950000003</v>
      </c>
      <c r="I126" s="529">
        <f>SUM(I72:I123)</f>
        <v>17751394.610000003</v>
      </c>
      <c r="J126" s="529">
        <f t="shared" ref="J126:K126" si="6">SUM(J75:J123)</f>
        <v>17663417.080000002</v>
      </c>
      <c r="K126" s="567">
        <f t="shared" si="6"/>
        <v>0</v>
      </c>
      <c r="L126" s="529">
        <f>SUM(L72:L123)</f>
        <v>0</v>
      </c>
      <c r="M126" s="529">
        <f>SUM(M72:M123)</f>
        <v>0</v>
      </c>
      <c r="N126" s="529">
        <f>SUM(N72:N123)</f>
        <v>0</v>
      </c>
      <c r="O126" s="529">
        <f t="shared" ref="O126:P126" si="7">SUM(O72:O123)</f>
        <v>0</v>
      </c>
      <c r="P126" s="568">
        <f t="shared" si="7"/>
        <v>0</v>
      </c>
      <c r="Q126" s="529">
        <f>SUM(Q72:Q123)</f>
        <v>104656090.78399999</v>
      </c>
      <c r="R126" s="529">
        <f>SUM(R72:R123)</f>
        <v>104656090.78399999</v>
      </c>
    </row>
    <row r="128" spans="1:18" x14ac:dyDescent="0.25">
      <c r="E128" s="561">
        <f>E57-E126</f>
        <v>0</v>
      </c>
    </row>
    <row r="129" spans="5:5" x14ac:dyDescent="0.25">
      <c r="E129" s="545"/>
    </row>
  </sheetData>
  <pageMargins left="0.7" right="0.7" top="0.75" bottom="0.75" header="0.3" footer="0.3"/>
  <pageSetup scale="44" fitToHeight="0" orientation="landscape" r:id="rId1"/>
  <ignoredErrors>
    <ignoredError sqref="Q72:R122"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election activeCell="F5" sqref="F5"/>
    </sheetView>
  </sheetViews>
  <sheetFormatPr defaultColWidth="9.140625" defaultRowHeight="15.75" x14ac:dyDescent="0.25"/>
  <cols>
    <col min="1" max="1" width="10.28515625" style="425" customWidth="1"/>
    <col min="2" max="2" width="30.28515625" style="377" bestFit="1" customWidth="1"/>
    <col min="3" max="3" width="14" style="377" customWidth="1"/>
    <col min="4" max="4" width="11.5703125" style="377" customWidth="1"/>
    <col min="5" max="5" width="14" style="377" customWidth="1"/>
    <col min="6" max="6" width="18.140625" style="377" customWidth="1"/>
    <col min="7" max="7" width="7.42578125" style="377" customWidth="1"/>
    <col min="8" max="8" width="15.7109375" style="377" customWidth="1"/>
    <col min="9" max="9" width="23.7109375" style="377" customWidth="1"/>
    <col min="10" max="10" width="12.7109375" style="377" bestFit="1" customWidth="1"/>
    <col min="11" max="11" width="16.85546875" style="377" bestFit="1" customWidth="1"/>
    <col min="12" max="12" width="15.7109375" style="377" bestFit="1" customWidth="1"/>
    <col min="13" max="16384" width="9.140625" style="377"/>
  </cols>
  <sheetData>
    <row r="1" spans="1:12" ht="16.5" thickBot="1" x14ac:dyDescent="0.3">
      <c r="A1" s="376"/>
      <c r="B1" s="814" t="s">
        <v>0</v>
      </c>
      <c r="C1" s="815"/>
      <c r="D1" s="815"/>
      <c r="E1" s="815"/>
      <c r="F1" s="815"/>
      <c r="G1" s="815"/>
      <c r="H1" s="815"/>
      <c r="I1" s="815"/>
    </row>
    <row r="2" spans="1:12" ht="21" x14ac:dyDescent="0.35">
      <c r="A2" s="378" t="s">
        <v>334</v>
      </c>
      <c r="B2" s="379"/>
      <c r="C2" s="379"/>
      <c r="D2" s="379"/>
      <c r="E2" s="379"/>
      <c r="F2" s="379"/>
      <c r="G2" s="379"/>
      <c r="H2" s="379"/>
      <c r="I2" s="379"/>
    </row>
    <row r="3" spans="1:12" x14ac:dyDescent="0.25">
      <c r="A3" s="380" t="str">
        <f>'[2]1461'!A3</f>
        <v>Based on the FLDOE 2025-26 FEFP Calculation</v>
      </c>
    </row>
    <row r="4" spans="1:12" x14ac:dyDescent="0.25">
      <c r="A4" s="816" t="s">
        <v>2</v>
      </c>
      <c r="B4" s="816"/>
      <c r="C4" s="817" t="s">
        <v>183</v>
      </c>
      <c r="D4" s="817"/>
      <c r="E4" s="817"/>
      <c r="F4" s="381" t="s">
        <v>589</v>
      </c>
      <c r="G4" s="382"/>
      <c r="H4" s="382"/>
      <c r="I4" s="382"/>
    </row>
    <row r="5" spans="1:12" ht="12" customHeight="1" thickBot="1" x14ac:dyDescent="0.3">
      <c r="A5" s="383"/>
      <c r="B5" s="383"/>
      <c r="C5" s="384"/>
      <c r="D5" s="384"/>
      <c r="E5" s="384"/>
      <c r="F5" s="385"/>
      <c r="G5" s="385"/>
      <c r="H5" s="385"/>
      <c r="I5" s="385"/>
    </row>
    <row r="6" spans="1:12" ht="12" customHeight="1" x14ac:dyDescent="0.25">
      <c r="A6" s="386"/>
      <c r="B6" s="386"/>
      <c r="C6" s="387"/>
      <c r="D6" s="387"/>
      <c r="E6" s="387"/>
      <c r="F6" s="382"/>
      <c r="G6" s="382"/>
      <c r="H6" s="382"/>
      <c r="I6" s="382"/>
    </row>
    <row r="7" spans="1:12" x14ac:dyDescent="0.25">
      <c r="A7" s="377" t="s">
        <v>3</v>
      </c>
      <c r="B7" s="734"/>
      <c r="C7" s="734"/>
      <c r="D7" s="734"/>
      <c r="E7" s="734"/>
      <c r="F7" s="734"/>
      <c r="G7" s="734"/>
      <c r="H7" s="734"/>
      <c r="I7" s="734"/>
    </row>
    <row r="8" spans="1:12" x14ac:dyDescent="0.25">
      <c r="A8" s="388"/>
      <c r="B8" s="389" t="s">
        <v>335</v>
      </c>
      <c r="C8" s="390">
        <f>'[2]1461'!C8</f>
        <v>5372.6</v>
      </c>
      <c r="D8" s="391"/>
      <c r="E8" s="392"/>
      <c r="F8" s="388"/>
      <c r="G8" s="389" t="s">
        <v>336</v>
      </c>
      <c r="H8" s="393">
        <f>'[2]1461'!H8</f>
        <v>1.0355000000000001</v>
      </c>
      <c r="I8" s="394"/>
    </row>
    <row r="9" spans="1:12" x14ac:dyDescent="0.25">
      <c r="A9" s="388"/>
      <c r="B9" s="389"/>
      <c r="C9" s="390"/>
      <c r="D9" s="391"/>
      <c r="E9" s="392"/>
      <c r="F9" s="388"/>
      <c r="G9" s="389" t="s">
        <v>337</v>
      </c>
      <c r="H9" s="393">
        <f>'[2]1461'!H9</f>
        <v>1</v>
      </c>
      <c r="I9" s="394"/>
    </row>
    <row r="10" spans="1:12" x14ac:dyDescent="0.25">
      <c r="A10" s="395"/>
      <c r="B10" s="395"/>
      <c r="C10" s="396"/>
      <c r="D10" s="396"/>
      <c r="E10" s="396"/>
      <c r="F10" s="397"/>
      <c r="G10" s="397"/>
      <c r="H10" s="398"/>
      <c r="I10" s="399" t="str">
        <f>'[2]1461'!I10</f>
        <v>2025-26</v>
      </c>
    </row>
    <row r="11" spans="1:12" x14ac:dyDescent="0.25">
      <c r="A11" s="395"/>
      <c r="B11" s="395"/>
      <c r="C11" s="400" t="str">
        <f>'[2]1461'!C11</f>
        <v>Oct 2024</v>
      </c>
      <c r="D11" s="400" t="str">
        <f>'[2]1461'!D11</f>
        <v>Feb 2025</v>
      </c>
      <c r="E11" s="401" t="s">
        <v>125</v>
      </c>
      <c r="F11" s="818" t="s">
        <v>8</v>
      </c>
      <c r="G11" s="818"/>
      <c r="H11" s="398" t="s">
        <v>9</v>
      </c>
      <c r="I11" s="402" t="s">
        <v>10</v>
      </c>
    </row>
    <row r="12" spans="1:12" x14ac:dyDescent="0.25">
      <c r="A12" s="819" t="s">
        <v>8</v>
      </c>
      <c r="B12" s="819"/>
      <c r="C12" s="403" t="str">
        <f>'[2]1461'!C12</f>
        <v>FTE</v>
      </c>
      <c r="D12" s="403" t="str">
        <f>'[2]1461'!D12</f>
        <v>FTE</v>
      </c>
      <c r="E12" s="404" t="s">
        <v>54</v>
      </c>
      <c r="F12" s="820" t="s">
        <v>12</v>
      </c>
      <c r="G12" s="820"/>
      <c r="H12" s="405" t="s">
        <v>13</v>
      </c>
      <c r="I12" s="406" t="s">
        <v>14</v>
      </c>
    </row>
    <row r="13" spans="1:12" x14ac:dyDescent="0.25">
      <c r="A13" s="809" t="s">
        <v>15</v>
      </c>
      <c r="B13" s="809"/>
      <c r="C13" s="407"/>
      <c r="D13" s="407"/>
      <c r="E13" s="408" t="s">
        <v>16</v>
      </c>
      <c r="F13" s="810" t="s">
        <v>17</v>
      </c>
      <c r="G13" s="810"/>
      <c r="H13" s="409" t="s">
        <v>18</v>
      </c>
      <c r="I13" s="410" t="s">
        <v>19</v>
      </c>
    </row>
    <row r="14" spans="1:12" x14ac:dyDescent="0.25">
      <c r="A14" s="811" t="s">
        <v>20</v>
      </c>
      <c r="B14" s="811"/>
      <c r="C14" s="411">
        <f>SUM('0040:4131'!C12)</f>
        <v>2123.9</v>
      </c>
      <c r="D14" s="411">
        <f>SUM('0040:4131'!D12)</f>
        <v>2080.34</v>
      </c>
      <c r="E14" s="418">
        <f>SUM('0040:4131'!E12)</f>
        <v>4204.2400000000007</v>
      </c>
      <c r="F14" s="812">
        <f>'1461'!G12:G12</f>
        <v>1.1080000000000001</v>
      </c>
      <c r="G14" s="812"/>
      <c r="H14" s="413">
        <f>SUM('0040:4131'!I12)</f>
        <v>4658.2979000000005</v>
      </c>
      <c r="I14" s="590">
        <f>SUM('0040:4131'!J12)</f>
        <v>25915635.880000003</v>
      </c>
      <c r="L14" s="478"/>
    </row>
    <row r="15" spans="1:12" x14ac:dyDescent="0.25">
      <c r="A15" s="813" t="s">
        <v>21</v>
      </c>
      <c r="B15" s="813"/>
      <c r="C15" s="415">
        <f>SUM('0040:4131'!C13)</f>
        <v>288.15000000000003</v>
      </c>
      <c r="D15" s="415">
        <f>SUM('0040:4131'!D13)</f>
        <v>304.75999999999993</v>
      </c>
      <c r="E15" s="412">
        <f>SUM('0040:4131'!E13)</f>
        <v>592.91000000000008</v>
      </c>
      <c r="F15" s="812">
        <f>'1461'!G13:G13</f>
        <v>1.1080000000000001</v>
      </c>
      <c r="G15" s="812"/>
      <c r="H15" s="413">
        <f>SUM('0040:4131'!I13)</f>
        <v>656.94420000000014</v>
      </c>
      <c r="I15" s="590">
        <f>SUM('0040:4131'!J13)</f>
        <v>3654795.6100000003</v>
      </c>
      <c r="L15" s="478"/>
    </row>
    <row r="16" spans="1:12" x14ac:dyDescent="0.25">
      <c r="A16" s="813" t="s">
        <v>22</v>
      </c>
      <c r="B16" s="813"/>
      <c r="C16" s="415">
        <f>SUM('0040:4131'!C14)</f>
        <v>3325.7299999999991</v>
      </c>
      <c r="D16" s="415">
        <f>SUM('0040:4131'!D14)</f>
        <v>3337.8900000000003</v>
      </c>
      <c r="E16" s="412">
        <f>SUM('0040:4131'!E14)</f>
        <v>6663.6200000000008</v>
      </c>
      <c r="F16" s="812">
        <f>'1461'!G14:G14</f>
        <v>1</v>
      </c>
      <c r="G16" s="812"/>
      <c r="H16" s="413">
        <f>SUM('0040:4131'!I14)</f>
        <v>6663.62</v>
      </c>
      <c r="I16" s="590">
        <f>SUM('0040:4131'!J14)</f>
        <v>37071899.059999995</v>
      </c>
      <c r="L16" s="478"/>
    </row>
    <row r="17" spans="1:12" x14ac:dyDescent="0.25">
      <c r="A17" s="813" t="s">
        <v>23</v>
      </c>
      <c r="B17" s="813"/>
      <c r="C17" s="415">
        <f>SUM('0040:4131'!C15)</f>
        <v>579.96</v>
      </c>
      <c r="D17" s="415">
        <f>SUM('0040:4131'!D15)</f>
        <v>587.27</v>
      </c>
      <c r="E17" s="412">
        <f>SUM('0040:4131'!E15)</f>
        <v>1167.23</v>
      </c>
      <c r="F17" s="812">
        <f>'1461'!G15:G15</f>
        <v>1</v>
      </c>
      <c r="G17" s="812"/>
      <c r="H17" s="413">
        <f>SUM('0040:4131'!I15)</f>
        <v>1167.23</v>
      </c>
      <c r="I17" s="590">
        <f>SUM('0040:4131'!J15)</f>
        <v>6493682.5300000003</v>
      </c>
      <c r="L17" s="478"/>
    </row>
    <row r="18" spans="1:12" x14ac:dyDescent="0.25">
      <c r="A18" s="813" t="s">
        <v>24</v>
      </c>
      <c r="B18" s="813"/>
      <c r="C18" s="415">
        <f>SUM('0040:4131'!C16)</f>
        <v>2266.5899999999997</v>
      </c>
      <c r="D18" s="415">
        <f>SUM('0040:4131'!D16)</f>
        <v>2312.9899999999998</v>
      </c>
      <c r="E18" s="412">
        <f>SUM('0040:4131'!E16)</f>
        <v>4579.5800000000008</v>
      </c>
      <c r="F18" s="812">
        <f>'1461'!G16:G16</f>
        <v>0.97199999999999998</v>
      </c>
      <c r="G18" s="812"/>
      <c r="H18" s="413">
        <f>SUM('0040:4131'!I16)</f>
        <v>4451.3517000000002</v>
      </c>
      <c r="I18" s="590">
        <f>SUM('0040:4131'!J16)</f>
        <v>24764326.43</v>
      </c>
      <c r="L18" s="478"/>
    </row>
    <row r="19" spans="1:12" x14ac:dyDescent="0.25">
      <c r="A19" s="813" t="s">
        <v>25</v>
      </c>
      <c r="B19" s="813"/>
      <c r="C19" s="415">
        <f>SUM('0040:4131'!C17)</f>
        <v>626.3900000000001</v>
      </c>
      <c r="D19" s="415">
        <f>SUM('0040:4131'!D17)</f>
        <v>635.26999999999987</v>
      </c>
      <c r="E19" s="412">
        <f>SUM('0040:4131'!E17)</f>
        <v>1261.6600000000001</v>
      </c>
      <c r="F19" s="812">
        <f>'1461'!G17:G17</f>
        <v>0.97199999999999998</v>
      </c>
      <c r="G19" s="812"/>
      <c r="H19" s="413">
        <f>SUM('0040:4131'!I17)</f>
        <v>1226.3334999999997</v>
      </c>
      <c r="I19" s="590">
        <f>SUM('0040:4131'!J17)</f>
        <v>6822494.6499999994</v>
      </c>
      <c r="L19" s="478"/>
    </row>
    <row r="20" spans="1:12" x14ac:dyDescent="0.25">
      <c r="A20" s="813" t="s">
        <v>338</v>
      </c>
      <c r="B20" s="813"/>
      <c r="C20" s="415">
        <f>SUM('0040:4131'!C18)</f>
        <v>87.990000000000009</v>
      </c>
      <c r="D20" s="415">
        <f>SUM('0040:4131'!D18)</f>
        <v>85.67</v>
      </c>
      <c r="E20" s="412">
        <f>SUM('0040:4131'!E18)</f>
        <v>173.66</v>
      </c>
      <c r="F20" s="812">
        <f>'1461'!G18:G18</f>
        <v>3.609</v>
      </c>
      <c r="G20" s="812"/>
      <c r="H20" s="413">
        <f>SUM('0040:4131'!I18)</f>
        <v>626.73900000000003</v>
      </c>
      <c r="I20" s="590">
        <f>SUM('0040:4131'!J18)</f>
        <v>3486754.1899999995</v>
      </c>
      <c r="L20" s="478"/>
    </row>
    <row r="21" spans="1:12" x14ac:dyDescent="0.25">
      <c r="A21" s="813" t="s">
        <v>339</v>
      </c>
      <c r="B21" s="813"/>
      <c r="C21" s="415">
        <f>SUM('0040:4131'!C19)</f>
        <v>78.010000000000005</v>
      </c>
      <c r="D21" s="415">
        <f>SUM('0040:4131'!D19)</f>
        <v>76.289999999999992</v>
      </c>
      <c r="E21" s="412">
        <f>SUM('0040:4131'!E19)</f>
        <v>154.30000000000001</v>
      </c>
      <c r="F21" s="812">
        <f>'1461'!G19:G19</f>
        <v>3.609</v>
      </c>
      <c r="G21" s="812"/>
      <c r="H21" s="413">
        <f>SUM('0040:4131'!I19)</f>
        <v>556.86869999999999</v>
      </c>
      <c r="I21" s="590">
        <f>SUM('0040:4131'!J19)</f>
        <v>3098042.85</v>
      </c>
      <c r="L21" s="478"/>
    </row>
    <row r="22" spans="1:12" x14ac:dyDescent="0.25">
      <c r="A22" s="813" t="s">
        <v>340</v>
      </c>
      <c r="B22" s="813"/>
      <c r="C22" s="415">
        <f>SUM('0040:4131'!C20)</f>
        <v>61.08</v>
      </c>
      <c r="D22" s="415">
        <f>SUM('0040:4131'!D20)</f>
        <v>62.11</v>
      </c>
      <c r="E22" s="412">
        <f>SUM('0040:4131'!E20)</f>
        <v>123.18999999999998</v>
      </c>
      <c r="F22" s="812">
        <f>'1461'!G20:G20</f>
        <v>3.609</v>
      </c>
      <c r="G22" s="812"/>
      <c r="H22" s="413">
        <f>SUM('0040:4131'!I20)</f>
        <v>444.59280000000007</v>
      </c>
      <c r="I22" s="590">
        <f>SUM('0040:4131'!J20)</f>
        <v>2473415.2800000003</v>
      </c>
      <c r="L22" s="478"/>
    </row>
    <row r="23" spans="1:12" x14ac:dyDescent="0.25">
      <c r="A23" s="813" t="s">
        <v>341</v>
      </c>
      <c r="B23" s="813"/>
      <c r="C23" s="415">
        <f>SUM('0040:4131'!C21)</f>
        <v>50.51</v>
      </c>
      <c r="D23" s="415">
        <f>SUM('0040:4131'!D21)</f>
        <v>55.540000000000006</v>
      </c>
      <c r="E23" s="412">
        <f>SUM('0040:4131'!E21)</f>
        <v>106.05</v>
      </c>
      <c r="F23" s="812">
        <f>'1461'!G21:G21</f>
        <v>6.0640000000000001</v>
      </c>
      <c r="G23" s="812"/>
      <c r="H23" s="413">
        <f>SUM('0040:4131'!I21)</f>
        <v>643.08719999999994</v>
      </c>
      <c r="I23" s="590">
        <f>SUM('0040:4131'!J21)</f>
        <v>3577704.5700000003</v>
      </c>
      <c r="L23" s="478"/>
    </row>
    <row r="24" spans="1:12" x14ac:dyDescent="0.25">
      <c r="A24" s="813" t="s">
        <v>342</v>
      </c>
      <c r="B24" s="813"/>
      <c r="C24" s="415">
        <f>SUM('0040:4131'!C22)</f>
        <v>50.480000000000004</v>
      </c>
      <c r="D24" s="415">
        <f>SUM('0040:4131'!D22)</f>
        <v>55.47</v>
      </c>
      <c r="E24" s="412">
        <f>SUM('0040:4131'!E22)</f>
        <v>105.95</v>
      </c>
      <c r="F24" s="812">
        <f>'1461'!G22:G22</f>
        <v>6.0640000000000001</v>
      </c>
      <c r="G24" s="812"/>
      <c r="H24" s="413">
        <f>SUM('0040:4131'!I22)</f>
        <v>642.48080000000004</v>
      </c>
      <c r="I24" s="590">
        <f>SUM('0040:4131'!J22)</f>
        <v>3574330.9699999997</v>
      </c>
      <c r="L24" s="478"/>
    </row>
    <row r="25" spans="1:12" x14ac:dyDescent="0.25">
      <c r="A25" s="813" t="s">
        <v>343</v>
      </c>
      <c r="B25" s="813"/>
      <c r="C25" s="415">
        <f>SUM('0040:4131'!C23)</f>
        <v>40.94</v>
      </c>
      <c r="D25" s="415">
        <f>SUM('0040:4131'!D23)</f>
        <v>43.53</v>
      </c>
      <c r="E25" s="412">
        <f>SUM('0040:4131'!E23)</f>
        <v>84.47</v>
      </c>
      <c r="F25" s="812">
        <f>'1461'!G23:G23</f>
        <v>6.0640000000000001</v>
      </c>
      <c r="G25" s="812"/>
      <c r="H25" s="413">
        <f>SUM('0040:4131'!I23)</f>
        <v>512.22609999999997</v>
      </c>
      <c r="I25" s="590">
        <f>SUM('0040:4131'!J23)</f>
        <v>2849681.45</v>
      </c>
      <c r="L25" s="478"/>
    </row>
    <row r="26" spans="1:12" x14ac:dyDescent="0.25">
      <c r="A26" s="813" t="s">
        <v>344</v>
      </c>
      <c r="B26" s="813"/>
      <c r="C26" s="415">
        <f>SUM('0040:4131'!C24)</f>
        <v>565.04999999999995</v>
      </c>
      <c r="D26" s="415">
        <f>SUM('0040:4131'!D24)</f>
        <v>542.26999999999987</v>
      </c>
      <c r="E26" s="412">
        <f>SUM('0040:4131'!E24)</f>
        <v>1107.32</v>
      </c>
      <c r="F26" s="812">
        <f>'1461'!G24:G24</f>
        <v>1.165</v>
      </c>
      <c r="G26" s="812"/>
      <c r="H26" s="413">
        <f>SUM('0040:4131'!I24)</f>
        <v>1290.0282</v>
      </c>
      <c r="I26" s="590">
        <f>SUM('0040:4131'!J24)</f>
        <v>7176849.1000000015</v>
      </c>
      <c r="L26" s="478"/>
    </row>
    <row r="27" spans="1:12" x14ac:dyDescent="0.25">
      <c r="A27" s="813" t="s">
        <v>345</v>
      </c>
      <c r="B27" s="813"/>
      <c r="C27" s="415">
        <f>SUM('0040:4131'!C25)</f>
        <v>319.94999999999993</v>
      </c>
      <c r="D27" s="415">
        <f>SUM('0040:4131'!D25)</f>
        <v>308.44</v>
      </c>
      <c r="E27" s="412">
        <f>SUM('0040:4131'!E25)</f>
        <v>628.39</v>
      </c>
      <c r="F27" s="812">
        <f>'1461'!G25:G25</f>
        <v>1.165</v>
      </c>
      <c r="G27" s="812"/>
      <c r="H27" s="413">
        <f>SUM('0040:4131'!I25)</f>
        <v>732.07500000000005</v>
      </c>
      <c r="I27" s="590">
        <f>SUM('0040:4131'!J25)</f>
        <v>4072772.83</v>
      </c>
      <c r="L27" s="478"/>
    </row>
    <row r="28" spans="1:12" x14ac:dyDescent="0.25">
      <c r="A28" s="813" t="s">
        <v>346</v>
      </c>
      <c r="B28" s="813"/>
      <c r="C28" s="415">
        <f>SUM('0040:4131'!C26)</f>
        <v>156.57999999999998</v>
      </c>
      <c r="D28" s="415">
        <f>SUM('0040:4131'!D26)</f>
        <v>159.26999999999998</v>
      </c>
      <c r="E28" s="412">
        <f>SUM('0040:4131'!E26)</f>
        <v>315.85000000000002</v>
      </c>
      <c r="F28" s="812">
        <f>'1461'!G26:G26</f>
        <v>1.165</v>
      </c>
      <c r="G28" s="812"/>
      <c r="H28" s="413">
        <f>SUM('0040:4131'!I26)</f>
        <v>367.96550000000002</v>
      </c>
      <c r="I28" s="590">
        <f>SUM('0040:4131'!J26)</f>
        <v>2047112.52</v>
      </c>
      <c r="L28" s="478"/>
    </row>
    <row r="29" spans="1:12" x14ac:dyDescent="0.25">
      <c r="A29" s="813" t="s">
        <v>347</v>
      </c>
      <c r="B29" s="813"/>
      <c r="C29" s="415">
        <f>SUM('0040:4131'!C27)</f>
        <v>286.93</v>
      </c>
      <c r="D29" s="415">
        <f>SUM('0040:4131'!D27)</f>
        <v>293.68000000000006</v>
      </c>
      <c r="E29" s="412">
        <f>SUM('0040:4131'!E27)</f>
        <v>580.61</v>
      </c>
      <c r="F29" s="812">
        <f>'1461'!G27:G27</f>
        <v>1.081</v>
      </c>
      <c r="G29" s="812"/>
      <c r="H29" s="413">
        <f>SUM('0040:4131'!I27)</f>
        <v>627.63940000000014</v>
      </c>
      <c r="I29" s="590">
        <f>SUM('0040:4131'!J27)</f>
        <v>3491763.4099999997</v>
      </c>
      <c r="L29" s="478"/>
    </row>
    <row r="30" spans="1:12" x14ac:dyDescent="0.25">
      <c r="A30" s="821" t="s">
        <v>348</v>
      </c>
      <c r="B30" s="822"/>
      <c r="C30" s="417">
        <f>SUM(C14:C29)</f>
        <v>10908.239999999998</v>
      </c>
      <c r="D30" s="417">
        <f>SUM(D14:D29)</f>
        <v>10940.790000000005</v>
      </c>
      <c r="E30" s="418">
        <f>SUM(E14:E29)</f>
        <v>21849.03</v>
      </c>
      <c r="F30" s="824"/>
      <c r="G30" s="824"/>
      <c r="H30" s="419">
        <f>SUM('0040:4131'!I28)</f>
        <v>25267.48</v>
      </c>
      <c r="I30" s="591">
        <f>SUM('0040:4131'!J28)</f>
        <v>140571261.32999998</v>
      </c>
    </row>
    <row r="31" spans="1:12" x14ac:dyDescent="0.25">
      <c r="A31" s="380" t="s">
        <v>349</v>
      </c>
      <c r="B31" s="420"/>
      <c r="C31" s="415">
        <f>SUM('0040:4131'!C29)</f>
        <v>0</v>
      </c>
      <c r="D31" s="415">
        <f>SUM('0040:4131'!D29)</f>
        <v>0</v>
      </c>
      <c r="E31" s="412">
        <f>IF(D$30=0,C31*2,C31+D31)</f>
        <v>0</v>
      </c>
      <c r="F31" s="812">
        <f>'1461'!G29:G29</f>
        <v>0</v>
      </c>
      <c r="G31" s="812"/>
      <c r="H31" s="413">
        <f t="shared" ref="H31" si="0">ROUND(E31*F31,4)</f>
        <v>0</v>
      </c>
      <c r="I31" s="414">
        <f>[2]Virtual!E28</f>
        <v>0</v>
      </c>
    </row>
    <row r="32" spans="1:12" x14ac:dyDescent="0.25">
      <c r="A32" s="821" t="s">
        <v>350</v>
      </c>
      <c r="B32" s="822"/>
      <c r="C32" s="421">
        <f>SUM(C30:C31)</f>
        <v>10908.239999999998</v>
      </c>
      <c r="D32" s="421">
        <f>SUM(D30:D31)</f>
        <v>10940.790000000005</v>
      </c>
      <c r="E32" s="421">
        <f>SUM(E30:E31)</f>
        <v>21849.03</v>
      </c>
      <c r="F32" s="422"/>
      <c r="G32" s="422"/>
      <c r="H32" s="413"/>
      <c r="I32" s="590">
        <f>SUM('0040:4131'!J30)</f>
        <v>0</v>
      </c>
    </row>
    <row r="33" spans="1:9" x14ac:dyDescent="0.25">
      <c r="A33" s="423"/>
      <c r="B33" s="423"/>
      <c r="C33" s="414"/>
      <c r="D33" s="414"/>
      <c r="E33" s="414"/>
      <c r="F33" s="422"/>
      <c r="G33" s="422"/>
      <c r="H33" s="413"/>
      <c r="I33" s="414"/>
    </row>
    <row r="34" spans="1:9" x14ac:dyDescent="0.25">
      <c r="A34" s="424" t="s">
        <v>37</v>
      </c>
      <c r="B34" s="423"/>
      <c r="C34" s="414"/>
      <c r="D34" s="414"/>
      <c r="E34" s="414"/>
      <c r="F34" s="422"/>
      <c r="G34" s="422"/>
      <c r="H34" s="413"/>
      <c r="I34" s="414"/>
    </row>
    <row r="35" spans="1:9" hidden="1" x14ac:dyDescent="0.25">
      <c r="A35" s="424"/>
      <c r="B35" s="423"/>
      <c r="C35" s="414"/>
      <c r="D35" s="414"/>
      <c r="E35" s="414"/>
      <c r="F35" s="422"/>
      <c r="G35" s="422"/>
      <c r="H35" s="413"/>
      <c r="I35" s="414"/>
    </row>
    <row r="36" spans="1:9" hidden="1" x14ac:dyDescent="0.25">
      <c r="A36" s="377"/>
      <c r="B36" s="425"/>
      <c r="C36" s="425"/>
      <c r="D36" s="425"/>
      <c r="E36" s="425"/>
      <c r="F36" s="425"/>
      <c r="G36" s="425"/>
      <c r="H36" s="425"/>
      <c r="I36" s="426" t="s">
        <v>351</v>
      </c>
    </row>
    <row r="37" spans="1:9" hidden="1" x14ac:dyDescent="0.25">
      <c r="A37" s="423"/>
      <c r="B37" s="423"/>
      <c r="C37" s="400" t="str">
        <f>C11</f>
        <v>Oct 2024</v>
      </c>
      <c r="D37" s="400" t="str">
        <f>D11</f>
        <v>Feb 2025</v>
      </c>
      <c r="E37" s="401" t="s">
        <v>125</v>
      </c>
      <c r="F37" s="422"/>
      <c r="G37" s="422"/>
      <c r="H37" s="427"/>
      <c r="I37" s="428" t="s">
        <v>10</v>
      </c>
    </row>
    <row r="38" spans="1:9" hidden="1" x14ac:dyDescent="0.25">
      <c r="A38" s="819" t="s">
        <v>352</v>
      </c>
      <c r="B38" s="819"/>
      <c r="C38" s="429" t="s">
        <v>54</v>
      </c>
      <c r="D38" s="429" t="s">
        <v>54</v>
      </c>
      <c r="E38" s="404" t="s">
        <v>54</v>
      </c>
      <c r="F38" s="430"/>
      <c r="G38" s="430"/>
      <c r="H38" s="430"/>
      <c r="I38" s="431" t="s">
        <v>353</v>
      </c>
    </row>
    <row r="39" spans="1:9" hidden="1" x14ac:dyDescent="0.25">
      <c r="A39" s="811" t="s">
        <v>93</v>
      </c>
      <c r="B39" s="811"/>
      <c r="C39" s="432">
        <f>SUM('[2]1461:4111'!C38)</f>
        <v>0</v>
      </c>
      <c r="D39" s="432">
        <f>SUM('[2]1461:4111'!D38)</f>
        <v>0</v>
      </c>
      <c r="E39" s="418">
        <f>SUM('[2]1461:4111'!E38)</f>
        <v>0</v>
      </c>
      <c r="F39" s="433"/>
      <c r="G39" s="433"/>
      <c r="H39" s="433"/>
      <c r="I39" s="417">
        <f>SUM('[2]1461:4111'!I38)</f>
        <v>0</v>
      </c>
    </row>
    <row r="40" spans="1:9" hidden="1" x14ac:dyDescent="0.25">
      <c r="A40" s="813" t="s">
        <v>94</v>
      </c>
      <c r="B40" s="813"/>
      <c r="C40" s="434">
        <f>SUM('[2]1461:4111'!C39)</f>
        <v>0</v>
      </c>
      <c r="D40" s="434">
        <f>SUM('[2]1461:4111'!D39)</f>
        <v>0</v>
      </c>
      <c r="E40" s="412">
        <f>SUM('[2]1461:4111'!E39)</f>
        <v>0</v>
      </c>
      <c r="F40" s="435"/>
      <c r="G40" s="435"/>
      <c r="H40" s="435"/>
      <c r="I40" s="414">
        <f>SUM('[2]1461:4111'!I39)</f>
        <v>0</v>
      </c>
    </row>
    <row r="41" spans="1:9" hidden="1" x14ac:dyDescent="0.25">
      <c r="A41" s="823" t="s">
        <v>95</v>
      </c>
      <c r="B41" s="823"/>
      <c r="C41" s="434">
        <f>SUM('[2]1461:4111'!C40)</f>
        <v>0</v>
      </c>
      <c r="D41" s="434">
        <f>SUM('[2]1461:4111'!D40)</f>
        <v>0</v>
      </c>
      <c r="E41" s="412">
        <f>SUM('[2]1461:4111'!E40)</f>
        <v>0</v>
      </c>
      <c r="F41" s="435"/>
      <c r="G41" s="435"/>
      <c r="H41" s="435"/>
      <c r="I41" s="414">
        <f>SUM('[2]1461:4111'!I40)</f>
        <v>0</v>
      </c>
    </row>
    <row r="42" spans="1:9" hidden="1" x14ac:dyDescent="0.25">
      <c r="A42" s="813" t="s">
        <v>96</v>
      </c>
      <c r="B42" s="813"/>
      <c r="C42" s="434">
        <f>SUM('[2]1461:4111'!C41)</f>
        <v>0</v>
      </c>
      <c r="D42" s="434">
        <f>SUM('[2]1461:4111'!D41)</f>
        <v>0</v>
      </c>
      <c r="E42" s="412">
        <f>SUM('[2]1461:4111'!E41)</f>
        <v>0</v>
      </c>
      <c r="F42" s="435"/>
      <c r="G42" s="435"/>
      <c r="H42" s="435"/>
      <c r="I42" s="414">
        <f>SUM('[2]1461:4111'!I41)</f>
        <v>0</v>
      </c>
    </row>
    <row r="43" spans="1:9" hidden="1" x14ac:dyDescent="0.25">
      <c r="A43" s="813" t="s">
        <v>97</v>
      </c>
      <c r="B43" s="813"/>
      <c r="C43" s="434" t="e">
        <f>SUM('[2]1461:4111'!C42)</f>
        <v>#REF!</v>
      </c>
      <c r="D43" s="434">
        <f>SUM('[2]1461:4111'!D42)</f>
        <v>0</v>
      </c>
      <c r="E43" s="412">
        <f>SUM('[2]1461:4111'!E42)</f>
        <v>0</v>
      </c>
      <c r="F43" s="435"/>
      <c r="G43" s="435"/>
      <c r="H43" s="435"/>
      <c r="I43" s="414">
        <f>SUM('[2]1461:4111'!I42)</f>
        <v>0</v>
      </c>
    </row>
    <row r="44" spans="1:9" hidden="1" x14ac:dyDescent="0.25">
      <c r="A44" s="813" t="s">
        <v>41</v>
      </c>
      <c r="B44" s="813"/>
      <c r="C44" s="436">
        <f>SUM('[2]1461:4111'!C43)</f>
        <v>0</v>
      </c>
      <c r="D44" s="436">
        <f>SUM('[2]1461:4111'!D43)</f>
        <v>0</v>
      </c>
      <c r="E44" s="437">
        <f>SUM('[2]1461:4111'!E43)</f>
        <v>0</v>
      </c>
      <c r="F44" s="435"/>
      <c r="G44" s="435"/>
      <c r="H44" s="435"/>
      <c r="I44" s="438">
        <f>SUM('[2]1461:4111'!I43)</f>
        <v>0</v>
      </c>
    </row>
    <row r="45" spans="1:9" hidden="1" x14ac:dyDescent="0.25">
      <c r="A45" s="377"/>
      <c r="B45" s="439" t="s">
        <v>354</v>
      </c>
      <c r="C45" s="421" t="e">
        <f>SUM(C39:C44)</f>
        <v>#REF!</v>
      </c>
      <c r="D45" s="421">
        <f>SUM(D39:D44)</f>
        <v>0</v>
      </c>
      <c r="E45" s="421">
        <f>SUM(E39:E44)</f>
        <v>0</v>
      </c>
      <c r="F45" s="440"/>
      <c r="G45" s="441"/>
      <c r="H45" s="442" t="s">
        <v>355</v>
      </c>
      <c r="I45" s="421">
        <f>SUM(I39:I44)</f>
        <v>0</v>
      </c>
    </row>
    <row r="46" spans="1:9" hidden="1" x14ac:dyDescent="0.25">
      <c r="A46" s="377"/>
      <c r="B46" s="439"/>
      <c r="C46" s="414"/>
      <c r="D46" s="414"/>
      <c r="E46" s="417"/>
      <c r="F46" s="440"/>
      <c r="G46" s="441"/>
      <c r="H46" s="442"/>
      <c r="I46" s="414"/>
    </row>
    <row r="47" spans="1:9" ht="16.5" hidden="1" thickBot="1" x14ac:dyDescent="0.3">
      <c r="A47" s="377"/>
      <c r="B47" s="439" t="s">
        <v>356</v>
      </c>
      <c r="E47" s="443">
        <f>H30+E45</f>
        <v>25267.48</v>
      </c>
      <c r="F47" s="444"/>
      <c r="G47" s="441"/>
      <c r="H47" s="442" t="s">
        <v>357</v>
      </c>
      <c r="I47" s="438">
        <f>SUM(I45,I32)</f>
        <v>0</v>
      </c>
    </row>
    <row r="48" spans="1:9" hidden="1" x14ac:dyDescent="0.25">
      <c r="A48" s="423"/>
      <c r="B48" s="423"/>
      <c r="C48" s="423"/>
      <c r="D48" s="423"/>
      <c r="E48" s="423"/>
      <c r="F48" s="444"/>
      <c r="G48" s="422"/>
      <c r="H48" s="422"/>
      <c r="I48" s="414"/>
    </row>
    <row r="49" spans="1:11" x14ac:dyDescent="0.25">
      <c r="A49" s="423"/>
      <c r="B49" s="423"/>
      <c r="C49" s="423"/>
      <c r="D49" s="423"/>
      <c r="E49" s="423"/>
      <c r="F49" s="444"/>
      <c r="G49" s="422"/>
      <c r="H49" s="422"/>
      <c r="I49" s="414"/>
    </row>
    <row r="50" spans="1:11" x14ac:dyDescent="0.25">
      <c r="A50" s="380" t="s">
        <v>358</v>
      </c>
      <c r="B50" s="423"/>
      <c r="C50" s="423"/>
      <c r="D50" s="423"/>
      <c r="E50" s="423"/>
      <c r="F50" s="444"/>
      <c r="G50" s="422"/>
      <c r="H50" s="422"/>
      <c r="I50" s="414"/>
    </row>
    <row r="51" spans="1:11" s="446" customFormat="1" ht="9" customHeight="1" x14ac:dyDescent="0.25">
      <c r="A51" s="445" t="s">
        <v>359</v>
      </c>
      <c r="F51" s="447"/>
      <c r="G51" s="448"/>
      <c r="H51" s="448"/>
      <c r="I51" s="449"/>
    </row>
    <row r="52" spans="1:11" s="446" customFormat="1" ht="11.25" customHeight="1" x14ac:dyDescent="0.25">
      <c r="A52" s="450" t="s">
        <v>360</v>
      </c>
      <c r="F52" s="447"/>
      <c r="G52" s="448"/>
      <c r="H52" s="448"/>
      <c r="I52" s="449"/>
    </row>
    <row r="53" spans="1:11" x14ac:dyDescent="0.25">
      <c r="A53" s="451"/>
      <c r="B53" s="377" t="s">
        <v>361</v>
      </c>
      <c r="C53" s="423"/>
      <c r="D53" s="423"/>
      <c r="E53" s="452" t="s">
        <v>362</v>
      </c>
      <c r="F53" s="592">
        <f>SUM('0040:4131'!G36)</f>
        <v>138187490.73999998</v>
      </c>
      <c r="G53" s="454" t="s">
        <v>81</v>
      </c>
      <c r="H53" s="455">
        <v>6.6699999999999995E-2</v>
      </c>
      <c r="I53" s="593">
        <f>SUM('0040:4131'!J36)</f>
        <v>9217105.620000001</v>
      </c>
      <c r="K53" s="456">
        <f>F53*H53</f>
        <v>9217105.6323579978</v>
      </c>
    </row>
    <row r="54" spans="1:11" x14ac:dyDescent="0.25">
      <c r="A54" s="423"/>
      <c r="B54" s="380" t="s">
        <v>363</v>
      </c>
      <c r="C54" s="423"/>
      <c r="D54" s="423"/>
      <c r="E54" s="452" t="s">
        <v>362</v>
      </c>
      <c r="F54" s="592">
        <f>SUM('0040:4131'!G37)</f>
        <v>138187490.73999998</v>
      </c>
      <c r="G54" s="454" t="s">
        <v>81</v>
      </c>
      <c r="H54" s="455">
        <v>5.4000000000000003E-3</v>
      </c>
      <c r="I54" s="593">
        <f>SUM('0040:4131'!J37)</f>
        <v>746212.41999999993</v>
      </c>
      <c r="K54" s="456">
        <f>F54*0.0054</f>
        <v>746212.44999599992</v>
      </c>
    </row>
    <row r="55" spans="1:11" x14ac:dyDescent="0.25">
      <c r="A55" s="423"/>
      <c r="B55" s="380" t="s">
        <v>364</v>
      </c>
      <c r="C55" s="423"/>
      <c r="D55" s="423"/>
      <c r="E55" s="452"/>
      <c r="F55" s="453"/>
      <c r="G55" s="454"/>
      <c r="H55" s="455"/>
      <c r="I55" s="421">
        <f>SUM(I53:I54)</f>
        <v>9963318.040000001</v>
      </c>
    </row>
    <row r="56" spans="1:11" x14ac:dyDescent="0.25">
      <c r="A56" s="423"/>
      <c r="B56" s="423"/>
      <c r="C56" s="423"/>
      <c r="D56" s="423"/>
      <c r="E56" s="423"/>
      <c r="F56" s="444"/>
      <c r="G56" s="422"/>
      <c r="H56" s="422"/>
      <c r="I56" s="414"/>
    </row>
    <row r="57" spans="1:11" x14ac:dyDescent="0.25">
      <c r="A57" s="423"/>
      <c r="B57" s="423"/>
      <c r="C57" s="400" t="str">
        <f>C11</f>
        <v>Oct 2024</v>
      </c>
      <c r="D57" s="457" t="str">
        <f t="shared" ref="D57:D58" si="1">D11</f>
        <v>Feb 2025</v>
      </c>
      <c r="E57" s="401" t="s">
        <v>125</v>
      </c>
      <c r="F57" s="458" t="s">
        <v>365</v>
      </c>
      <c r="G57" s="454" t="s">
        <v>366</v>
      </c>
      <c r="H57" s="459" t="s">
        <v>367</v>
      </c>
      <c r="I57" s="414"/>
    </row>
    <row r="58" spans="1:11" x14ac:dyDescent="0.25">
      <c r="A58" s="460" t="s">
        <v>53</v>
      </c>
      <c r="B58" s="460"/>
      <c r="C58" s="429" t="str">
        <f t="shared" ref="C58" si="2">C12</f>
        <v>FTE</v>
      </c>
      <c r="D58" s="429" t="str">
        <f t="shared" si="1"/>
        <v>FTE</v>
      </c>
      <c r="E58" s="404" t="s">
        <v>54</v>
      </c>
      <c r="F58" s="461" t="s">
        <v>368</v>
      </c>
      <c r="G58" s="462" t="s">
        <v>368</v>
      </c>
      <c r="H58" s="463" t="s">
        <v>369</v>
      </c>
      <c r="I58" s="460"/>
    </row>
    <row r="59" spans="1:11" ht="15.75" customHeight="1" x14ac:dyDescent="0.25">
      <c r="A59" s="829" t="s">
        <v>370</v>
      </c>
      <c r="B59" s="829"/>
      <c r="C59" s="415">
        <f>SUM('0040:4131'!C41)</f>
        <v>226.09</v>
      </c>
      <c r="D59" s="415">
        <f>SUM('0040:4131'!D41)</f>
        <v>243.06000000000003</v>
      </c>
      <c r="E59" s="412">
        <f>SUM('0040:4131'!E41)</f>
        <v>469.15000000000003</v>
      </c>
      <c r="F59" s="464" t="s">
        <v>59</v>
      </c>
      <c r="G59" s="464">
        <v>251</v>
      </c>
      <c r="H59" s="465">
        <f>'0040'!I41</f>
        <v>1047</v>
      </c>
      <c r="I59" s="412">
        <f>SUM('0040:4131'!J41)</f>
        <v>491200.04999999993</v>
      </c>
    </row>
    <row r="60" spans="1:11" x14ac:dyDescent="0.25">
      <c r="A60" s="830"/>
      <c r="B60" s="830"/>
      <c r="C60" s="415">
        <f>SUM('0040:4131'!C42)</f>
        <v>45.53</v>
      </c>
      <c r="D60" s="415">
        <f>SUM('0040:4131'!D42)</f>
        <v>48.089999999999996</v>
      </c>
      <c r="E60" s="412">
        <f>SUM('0040:4131'!E42)</f>
        <v>93.62</v>
      </c>
      <c r="F60" s="464" t="s">
        <v>59</v>
      </c>
      <c r="G60" s="464">
        <v>252</v>
      </c>
      <c r="H60" s="465">
        <f>'0040'!I42</f>
        <v>3380</v>
      </c>
      <c r="I60" s="412">
        <f>SUM('0040:4131'!J42)</f>
        <v>316435.59999999998</v>
      </c>
    </row>
    <row r="61" spans="1:11" x14ac:dyDescent="0.25">
      <c r="A61" s="830"/>
      <c r="B61" s="830"/>
      <c r="C61" s="415">
        <f>SUM('0040:4131'!C43)</f>
        <v>16.53</v>
      </c>
      <c r="D61" s="415">
        <f>SUM('0040:4131'!D43)</f>
        <v>13.609999999999998</v>
      </c>
      <c r="E61" s="412">
        <f>SUM('0040:4131'!E43)</f>
        <v>30.140000000000004</v>
      </c>
      <c r="F61" s="464" t="s">
        <v>59</v>
      </c>
      <c r="G61" s="464">
        <v>253</v>
      </c>
      <c r="H61" s="465">
        <f>'0040'!I43</f>
        <v>6896</v>
      </c>
      <c r="I61" s="412">
        <f>SUM('0040:4131'!J43)</f>
        <v>207845.43999999997</v>
      </c>
    </row>
    <row r="62" spans="1:11" x14ac:dyDescent="0.25">
      <c r="A62" s="830"/>
      <c r="B62" s="830"/>
      <c r="C62" s="415">
        <f>SUM('0040:4131'!C44)</f>
        <v>503.96000000000004</v>
      </c>
      <c r="D62" s="415">
        <f>SUM('0040:4131'!D44)</f>
        <v>514.03</v>
      </c>
      <c r="E62" s="412">
        <f>SUM('0040:4131'!E44)</f>
        <v>1017.9900000000002</v>
      </c>
      <c r="F62" s="466" t="s">
        <v>60</v>
      </c>
      <c r="G62" s="464">
        <v>251</v>
      </c>
      <c r="H62" s="465">
        <f>'0040'!I44</f>
        <v>1173</v>
      </c>
      <c r="I62" s="412">
        <f>SUM('0040:4131'!J44)</f>
        <v>1194102.27</v>
      </c>
    </row>
    <row r="63" spans="1:11" x14ac:dyDescent="0.25">
      <c r="A63" s="830"/>
      <c r="B63" s="830"/>
      <c r="C63" s="415">
        <f>SUM('0040:4131'!C45)</f>
        <v>63.059999999999995</v>
      </c>
      <c r="D63" s="415">
        <f>SUM('0040:4131'!D45)</f>
        <v>62.069999999999993</v>
      </c>
      <c r="E63" s="412">
        <f>SUM('0040:4131'!E45)</f>
        <v>125.13000000000001</v>
      </c>
      <c r="F63" s="466" t="s">
        <v>60</v>
      </c>
      <c r="G63" s="464">
        <v>252</v>
      </c>
      <c r="H63" s="465">
        <f>'0040'!I45</f>
        <v>3506</v>
      </c>
      <c r="I63" s="412">
        <f>SUM('0040:4131'!J45)</f>
        <v>438705.77999999991</v>
      </c>
    </row>
    <row r="64" spans="1:11" x14ac:dyDescent="0.25">
      <c r="A64" s="830"/>
      <c r="B64" s="830"/>
      <c r="C64" s="415">
        <f>SUM('0040:4131'!C46)</f>
        <v>12.94</v>
      </c>
      <c r="D64" s="415">
        <f>SUM('0040:4131'!D46)</f>
        <v>11.17</v>
      </c>
      <c r="E64" s="412">
        <f>SUM('0040:4131'!E46)</f>
        <v>24.11</v>
      </c>
      <c r="F64" s="466" t="s">
        <v>60</v>
      </c>
      <c r="G64" s="464">
        <v>253</v>
      </c>
      <c r="H64" s="465">
        <f>'0040'!I46</f>
        <v>7023</v>
      </c>
      <c r="I64" s="412">
        <f>SUM('0040:4131'!J46)</f>
        <v>169324.53</v>
      </c>
    </row>
    <row r="65" spans="1:9" x14ac:dyDescent="0.25">
      <c r="A65" s="830"/>
      <c r="B65" s="830"/>
      <c r="C65" s="415">
        <f>SUM('0040:4131'!C47)</f>
        <v>430.46999999999997</v>
      </c>
      <c r="D65" s="415">
        <f>SUM('0040:4131'!D47)</f>
        <v>436.78999999999996</v>
      </c>
      <c r="E65" s="412">
        <f>SUM('0040:4131'!E47)</f>
        <v>867.26</v>
      </c>
      <c r="F65" s="466" t="s">
        <v>61</v>
      </c>
      <c r="G65" s="464">
        <v>251</v>
      </c>
      <c r="H65" s="465">
        <f>'0040'!I47</f>
        <v>835</v>
      </c>
      <c r="I65" s="412">
        <f>SUM('0040:4131'!J47)</f>
        <v>724162.1</v>
      </c>
    </row>
    <row r="66" spans="1:9" x14ac:dyDescent="0.25">
      <c r="A66" s="830"/>
      <c r="B66" s="830"/>
      <c r="C66" s="415">
        <f>SUM('0040:4131'!C48)</f>
        <v>80.77000000000001</v>
      </c>
      <c r="D66" s="415">
        <f>SUM('0040:4131'!D48)</f>
        <v>84.22</v>
      </c>
      <c r="E66" s="412">
        <f>SUM('0040:4131'!E48)</f>
        <v>164.99000000000004</v>
      </c>
      <c r="F66" s="466" t="s">
        <v>61</v>
      </c>
      <c r="G66" s="464">
        <v>252</v>
      </c>
      <c r="H66" s="465">
        <f>'0040'!I48</f>
        <v>3168</v>
      </c>
      <c r="I66" s="412">
        <f>SUM('0040:4131'!J48)</f>
        <v>522688.31999999989</v>
      </c>
    </row>
    <row r="67" spans="1:9" x14ac:dyDescent="0.25">
      <c r="A67" s="830"/>
      <c r="B67" s="830"/>
      <c r="C67" s="415">
        <f>SUM('0040:4131'!C49)</f>
        <v>115.15</v>
      </c>
      <c r="D67" s="415">
        <f>SUM('0040:4131'!D49)</f>
        <v>114.26000000000002</v>
      </c>
      <c r="E67" s="412">
        <f>SUM('0040:4131'!E49)</f>
        <v>229.41000000000003</v>
      </c>
      <c r="F67" s="466" t="s">
        <v>61</v>
      </c>
      <c r="G67" s="464">
        <v>253</v>
      </c>
      <c r="H67" s="465">
        <f>'0040'!I49</f>
        <v>6685</v>
      </c>
      <c r="I67" s="412">
        <f>SUM('0040:4131'!J49)</f>
        <v>1533605.85</v>
      </c>
    </row>
    <row r="68" spans="1:9" x14ac:dyDescent="0.25">
      <c r="C68" s="421">
        <f>SUM(C59:C67)</f>
        <v>1494.5</v>
      </c>
      <c r="D68" s="421">
        <f>SUM(D59:D67)</f>
        <v>1527.2999999999997</v>
      </c>
      <c r="E68" s="421">
        <f>SUM(E59:E67)</f>
        <v>3021.8</v>
      </c>
      <c r="F68" s="831" t="s">
        <v>63</v>
      </c>
      <c r="G68" s="831"/>
      <c r="H68" s="831"/>
      <c r="I68" s="421">
        <f>SUM(I59:I67)</f>
        <v>5598069.9399999995</v>
      </c>
    </row>
    <row r="69" spans="1:9" x14ac:dyDescent="0.25">
      <c r="A69" s="423"/>
      <c r="B69" s="423"/>
      <c r="C69" s="467"/>
      <c r="D69" s="423"/>
      <c r="E69" s="423"/>
      <c r="F69" s="444"/>
      <c r="G69" s="422"/>
      <c r="H69" s="422"/>
      <c r="I69" s="414"/>
    </row>
    <row r="70" spans="1:9" x14ac:dyDescent="0.25">
      <c r="A70" s="380" t="s">
        <v>371</v>
      </c>
    </row>
    <row r="71" spans="1:9" x14ac:dyDescent="0.25">
      <c r="A71" s="825" t="s">
        <v>372</v>
      </c>
      <c r="B71" s="813"/>
      <c r="C71" s="468">
        <f>SUM('0040:4131'!E53)</f>
        <v>20723.619999999992</v>
      </c>
      <c r="D71" s="826" t="s">
        <v>373</v>
      </c>
      <c r="E71" s="826"/>
      <c r="F71" s="826"/>
      <c r="G71" s="826"/>
      <c r="H71" s="469">
        <f>'0040'!I53</f>
        <v>215320.92</v>
      </c>
      <c r="I71" s="470"/>
    </row>
    <row r="72" spans="1:9" x14ac:dyDescent="0.25">
      <c r="B72" s="425"/>
      <c r="G72" s="471" t="s">
        <v>68</v>
      </c>
      <c r="H72" s="472">
        <f>ROUND(C71/H71,6)</f>
        <v>9.6244999999999997E-2</v>
      </c>
      <c r="I72" s="473"/>
    </row>
    <row r="73" spans="1:9" x14ac:dyDescent="0.25">
      <c r="A73" s="380" t="s">
        <v>374</v>
      </c>
    </row>
    <row r="74" spans="1:9" x14ac:dyDescent="0.25">
      <c r="A74" s="825" t="s">
        <v>375</v>
      </c>
      <c r="B74" s="813"/>
      <c r="C74" s="468">
        <f>SUM('0040:4131'!E56)</f>
        <v>24101.964799999998</v>
      </c>
      <c r="D74" s="826" t="s">
        <v>376</v>
      </c>
      <c r="E74" s="826"/>
      <c r="F74" s="826"/>
      <c r="G74" s="826"/>
      <c r="H74" s="469">
        <f>'0040'!I56</f>
        <v>229051.25000000003</v>
      </c>
      <c r="I74" s="412"/>
    </row>
    <row r="75" spans="1:9" x14ac:dyDescent="0.25">
      <c r="G75" s="471" t="s">
        <v>68</v>
      </c>
      <c r="H75" s="472">
        <f>ROUND(C74/H74,6)</f>
        <v>0.105225</v>
      </c>
      <c r="I75" s="472"/>
    </row>
    <row r="76" spans="1:9" x14ac:dyDescent="0.25">
      <c r="A76" s="474" t="s">
        <v>377</v>
      </c>
      <c r="B76" s="475"/>
      <c r="C76" s="475"/>
      <c r="D76" s="475"/>
      <c r="E76" s="475"/>
      <c r="F76" s="475"/>
      <c r="G76" s="475"/>
      <c r="H76" s="475"/>
      <c r="I76" s="475"/>
    </row>
    <row r="77" spans="1:9" x14ac:dyDescent="0.25">
      <c r="A77" s="825" t="s">
        <v>378</v>
      </c>
      <c r="B77" s="813"/>
      <c r="C77" s="468">
        <f>SUM('0040:4131'!E59)</f>
        <v>20723.619999999992</v>
      </c>
      <c r="D77" s="827" t="s">
        <v>379</v>
      </c>
      <c r="E77" s="827"/>
      <c r="F77" s="827"/>
      <c r="G77" s="827"/>
      <c r="H77" s="469">
        <f>'0040'!I59</f>
        <v>186156.17</v>
      </c>
      <c r="I77" s="470"/>
    </row>
    <row r="78" spans="1:9" x14ac:dyDescent="0.25">
      <c r="B78" s="425"/>
      <c r="G78" s="471" t="s">
        <v>68</v>
      </c>
      <c r="H78" s="472">
        <f>ROUND(C77/H77,6)</f>
        <v>0.11132400000000001</v>
      </c>
      <c r="I78" s="473"/>
    </row>
    <row r="79" spans="1:9" x14ac:dyDescent="0.25">
      <c r="A79" s="474" t="s">
        <v>380</v>
      </c>
      <c r="B79" s="475"/>
      <c r="C79" s="475"/>
      <c r="D79" s="475"/>
      <c r="E79" s="475"/>
      <c r="F79" s="475"/>
      <c r="G79" s="475"/>
      <c r="H79" s="475"/>
      <c r="I79" s="475"/>
    </row>
    <row r="80" spans="1:9" x14ac:dyDescent="0.25">
      <c r="A80" s="825" t="s">
        <v>378</v>
      </c>
      <c r="B80" s="813"/>
      <c r="C80" s="468">
        <f>SUM('0040:4131'!E62)</f>
        <v>20723.619999999992</v>
      </c>
      <c r="D80" s="828" t="s">
        <v>381</v>
      </c>
      <c r="E80" s="828"/>
      <c r="F80" s="828"/>
      <c r="G80" s="828"/>
      <c r="H80" s="469">
        <f>'0040'!I62</f>
        <v>215016.58000000002</v>
      </c>
      <c r="I80" s="470"/>
    </row>
    <row r="81" spans="1:25" x14ac:dyDescent="0.25">
      <c r="B81" s="425"/>
      <c r="G81" s="471" t="s">
        <v>68</v>
      </c>
      <c r="H81" s="472">
        <f>ROUND(C80/H80,6)</f>
        <v>9.6380999999999994E-2</v>
      </c>
      <c r="I81" s="473"/>
    </row>
    <row r="82" spans="1:25" x14ac:dyDescent="0.25">
      <c r="A82" s="474" t="s">
        <v>382</v>
      </c>
      <c r="B82" s="475"/>
      <c r="C82" s="475"/>
      <c r="D82" s="475"/>
      <c r="E82" s="475"/>
      <c r="F82" s="475"/>
      <c r="G82" s="475"/>
      <c r="H82" s="475"/>
      <c r="I82" s="475"/>
    </row>
    <row r="83" spans="1:25" x14ac:dyDescent="0.25">
      <c r="A83" s="825" t="s">
        <v>383</v>
      </c>
      <c r="B83" s="813"/>
      <c r="C83" s="468">
        <f>SUM('0040:4131'!E65)</f>
        <v>20723.619999999992</v>
      </c>
      <c r="D83" s="827" t="s">
        <v>384</v>
      </c>
      <c r="E83" s="827"/>
      <c r="F83" s="827"/>
      <c r="G83" s="827"/>
      <c r="H83" s="469">
        <f>'0040'!I65</f>
        <v>185851.83000000002</v>
      </c>
      <c r="I83" s="470"/>
    </row>
    <row r="84" spans="1:25" x14ac:dyDescent="0.25">
      <c r="B84" s="425"/>
      <c r="G84" s="471" t="s">
        <v>68</v>
      </c>
      <c r="H84" s="472">
        <f>ROUND(C83/H83,6)</f>
        <v>0.11150599999999999</v>
      </c>
      <c r="I84" s="473"/>
    </row>
    <row r="85" spans="1:25" x14ac:dyDescent="0.25">
      <c r="A85" s="375"/>
      <c r="G85" s="471"/>
      <c r="H85" s="472"/>
      <c r="I85" s="472"/>
    </row>
    <row r="86" spans="1:25" x14ac:dyDescent="0.25">
      <c r="A86" s="380" t="s">
        <v>385</v>
      </c>
      <c r="D86" s="425"/>
      <c r="E86" s="452" t="s">
        <v>80</v>
      </c>
      <c r="F86" s="594">
        <f>'0040'!G68</f>
        <v>47290747</v>
      </c>
      <c r="G86" s="464" t="s">
        <v>81</v>
      </c>
      <c r="H86" s="477">
        <f>H81</f>
        <v>9.6380999999999994E-2</v>
      </c>
      <c r="I86" s="414">
        <f>SUM('0040:4131'!J68)</f>
        <v>4805354.6800000016</v>
      </c>
      <c r="K86" s="478">
        <f>F86*H86</f>
        <v>4557929.4866069993</v>
      </c>
      <c r="L86" s="478">
        <f>I86-K86</f>
        <v>247425.19339300226</v>
      </c>
    </row>
    <row r="87" spans="1:25" x14ac:dyDescent="0.25">
      <c r="A87" s="479"/>
      <c r="D87" s="425"/>
      <c r="E87" s="452"/>
      <c r="F87" s="480"/>
      <c r="G87" s="464"/>
      <c r="H87" s="477"/>
      <c r="I87" s="414"/>
      <c r="K87" s="478"/>
      <c r="L87" s="478"/>
    </row>
    <row r="88" spans="1:25" x14ac:dyDescent="0.25">
      <c r="A88" s="836" t="s">
        <v>82</v>
      </c>
      <c r="B88" s="813"/>
      <c r="C88" s="813"/>
      <c r="D88" s="425"/>
      <c r="E88" s="452"/>
      <c r="F88" s="480"/>
      <c r="G88" s="464"/>
      <c r="H88" s="477"/>
      <c r="I88" s="414"/>
      <c r="K88" s="478"/>
      <c r="L88" s="478"/>
    </row>
    <row r="89" spans="1:25" ht="15.75" customHeight="1" x14ac:dyDescent="0.25">
      <c r="A89" s="836" t="s">
        <v>386</v>
      </c>
      <c r="B89" s="813"/>
      <c r="C89" s="813"/>
      <c r="D89" s="425"/>
      <c r="E89" s="452" t="s">
        <v>84</v>
      </c>
      <c r="F89" s="476">
        <f>'0040'!G70</f>
        <v>0</v>
      </c>
      <c r="G89" s="464" t="s">
        <v>81</v>
      </c>
      <c r="H89" s="477">
        <f>H72</f>
        <v>9.6244999999999997E-2</v>
      </c>
      <c r="I89" s="414">
        <f>SUM('[2]0040:4131'!I88)</f>
        <v>0</v>
      </c>
      <c r="K89" s="478"/>
      <c r="L89" s="478"/>
    </row>
    <row r="90" spans="1:25" ht="15.75" customHeight="1" x14ac:dyDescent="0.25">
      <c r="A90" s="481"/>
      <c r="B90" s="425"/>
      <c r="C90" s="425"/>
      <c r="D90" s="425"/>
      <c r="E90" s="452"/>
      <c r="F90" s="480"/>
      <c r="G90" s="464"/>
      <c r="H90" s="477"/>
      <c r="I90" s="414"/>
      <c r="K90" s="478"/>
      <c r="L90" s="478"/>
    </row>
    <row r="91" spans="1:25" x14ac:dyDescent="0.25">
      <c r="A91" s="380" t="s">
        <v>387</v>
      </c>
      <c r="D91" s="425"/>
      <c r="E91" s="452" t="s">
        <v>86</v>
      </c>
      <c r="F91" s="476">
        <f>'0040'!G71</f>
        <v>19167881</v>
      </c>
      <c r="G91" s="464" t="s">
        <v>81</v>
      </c>
      <c r="H91" s="477">
        <f>H84</f>
        <v>0.11150599999999999</v>
      </c>
      <c r="I91" s="414">
        <f>SUM('0040:4131'!J71)</f>
        <v>2253395.2799999993</v>
      </c>
      <c r="K91" s="478">
        <f t="shared" ref="K91:K93" si="3">F91*H91</f>
        <v>2137333.7387859998</v>
      </c>
      <c r="L91" s="478">
        <f t="shared" ref="L91:L93" si="4">I91-K91</f>
        <v>116061.5412139995</v>
      </c>
    </row>
    <row r="92" spans="1:25" x14ac:dyDescent="0.25">
      <c r="A92" s="479"/>
      <c r="D92" s="425"/>
      <c r="E92" s="452"/>
      <c r="F92" s="480"/>
      <c r="G92" s="464"/>
      <c r="H92" s="477"/>
      <c r="I92" s="414"/>
      <c r="K92" s="478">
        <f t="shared" si="3"/>
        <v>0</v>
      </c>
      <c r="L92" s="478">
        <f t="shared" si="4"/>
        <v>0</v>
      </c>
    </row>
    <row r="93" spans="1:25" x14ac:dyDescent="0.25">
      <c r="A93" s="380" t="s">
        <v>388</v>
      </c>
      <c r="D93" s="425"/>
      <c r="E93" s="452" t="s">
        <v>84</v>
      </c>
      <c r="F93" s="476">
        <f>'0040'!G72</f>
        <v>11546889</v>
      </c>
      <c r="G93" s="464" t="s">
        <v>81</v>
      </c>
      <c r="H93" s="477">
        <f>H78</f>
        <v>0.11132400000000001</v>
      </c>
      <c r="I93" s="414">
        <f>SUM('0040:4131'!J72)</f>
        <v>1355246.8099999998</v>
      </c>
      <c r="K93" s="478">
        <f t="shared" si="3"/>
        <v>1285445.8710360001</v>
      </c>
      <c r="L93" s="478">
        <f t="shared" si="4"/>
        <v>69800.938963999739</v>
      </c>
    </row>
    <row r="94" spans="1:25" x14ac:dyDescent="0.25">
      <c r="A94" s="380"/>
      <c r="D94" s="425"/>
      <c r="E94" s="452"/>
      <c r="F94" s="480"/>
      <c r="G94" s="464"/>
      <c r="H94" s="477"/>
      <c r="I94" s="414"/>
      <c r="K94" s="478"/>
      <c r="L94" s="478"/>
    </row>
    <row r="95" spans="1:25" s="2" customFormat="1" ht="24.75" customHeight="1" x14ac:dyDescent="0.25">
      <c r="A95" s="235" t="s">
        <v>89</v>
      </c>
      <c r="B95" s="235"/>
      <c r="C95" s="235"/>
      <c r="D95" s="235"/>
      <c r="E95" s="235"/>
      <c r="F95" s="248" t="s">
        <v>90</v>
      </c>
      <c r="G95" s="64"/>
      <c r="H95" s="223"/>
      <c r="I95" s="41"/>
      <c r="J95" s="30"/>
      <c r="R95" s="851" t="s">
        <v>91</v>
      </c>
      <c r="S95" s="851"/>
      <c r="T95" s="852" t="s">
        <v>170</v>
      </c>
      <c r="U95" s="853"/>
      <c r="V95" s="853"/>
      <c r="W95" s="853"/>
      <c r="X95" s="853"/>
      <c r="Y95" s="153"/>
    </row>
    <row r="96" spans="1:25" s="2" customFormat="1" ht="63" customHeight="1" x14ac:dyDescent="0.25">
      <c r="A96" s="854" t="s">
        <v>91</v>
      </c>
      <c r="B96" s="854"/>
      <c r="C96" s="229"/>
      <c r="D96" s="229"/>
      <c r="E96" s="855" t="s">
        <v>92</v>
      </c>
      <c r="F96" s="856"/>
      <c r="G96" s="856"/>
      <c r="H96" s="856"/>
      <c r="I96" s="856"/>
      <c r="J96" s="18"/>
      <c r="R96" s="857" t="s">
        <v>93</v>
      </c>
      <c r="S96" s="857"/>
      <c r="T96" s="197"/>
      <c r="U96" s="197"/>
      <c r="V96" s="197"/>
      <c r="W96" s="197"/>
      <c r="X96" s="197"/>
      <c r="Y96" s="197"/>
    </row>
    <row r="97" spans="1:26" s="2" customFormat="1" ht="22.5" customHeight="1" x14ac:dyDescent="0.25">
      <c r="A97" s="837" t="s">
        <v>93</v>
      </c>
      <c r="B97" s="837"/>
      <c r="C97" s="236"/>
      <c r="D97" s="236"/>
      <c r="E97" s="65"/>
      <c r="F97" s="65"/>
      <c r="G97" s="65"/>
      <c r="H97" s="65"/>
      <c r="I97" s="65"/>
      <c r="J97" s="595">
        <f>SUM('0040:4131'!J75)</f>
        <v>79.039999999999992</v>
      </c>
      <c r="L97" s="66"/>
      <c r="O97" s="248"/>
      <c r="P97" s="248"/>
      <c r="R97" s="857" t="s">
        <v>94</v>
      </c>
      <c r="S97" s="857"/>
      <c r="T97" s="197"/>
      <c r="U97" s="197"/>
      <c r="V97" s="197"/>
      <c r="W97" s="197"/>
      <c r="X97" s="197"/>
      <c r="Y97" s="197"/>
    </row>
    <row r="98" spans="1:26" s="2" customFormat="1" ht="18.75" customHeight="1" x14ac:dyDescent="0.25">
      <c r="A98" s="837" t="s">
        <v>94</v>
      </c>
      <c r="B98" s="837"/>
      <c r="C98" s="236"/>
      <c r="D98" s="236"/>
      <c r="E98" s="65"/>
      <c r="F98" s="65"/>
      <c r="G98" s="65"/>
      <c r="H98" s="65"/>
      <c r="I98" s="65"/>
      <c r="J98" s="595">
        <f>SUM('0040:4131'!J76)</f>
        <v>26.72</v>
      </c>
      <c r="L98" s="67"/>
      <c r="O98" s="248"/>
      <c r="P98" s="248"/>
      <c r="R98" s="861" t="s">
        <v>95</v>
      </c>
      <c r="S98" s="861"/>
      <c r="T98" s="198"/>
      <c r="U98" s="198"/>
      <c r="V98" s="198"/>
      <c r="W98" s="198"/>
      <c r="X98" s="198"/>
      <c r="Y98" s="197"/>
    </row>
    <row r="99" spans="1:26" s="2" customFormat="1" ht="18.75" customHeight="1" x14ac:dyDescent="0.25">
      <c r="A99" s="862" t="s">
        <v>95</v>
      </c>
      <c r="B99" s="862"/>
      <c r="C99" s="244"/>
      <c r="D99" s="244"/>
      <c r="E99" s="68"/>
      <c r="F99" s="68"/>
      <c r="G99" s="68"/>
      <c r="H99" s="68"/>
      <c r="I99" s="68"/>
      <c r="J99" s="595">
        <f>SUM('0040:4131'!J77)</f>
        <v>183.73999999999998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595">
        <f>SUM('0040:4131'!J78)</f>
        <v>249.5</v>
      </c>
      <c r="K100" s="70"/>
      <c r="L100" s="70"/>
      <c r="M100" s="71"/>
      <c r="N100" s="70"/>
      <c r="O100" s="70"/>
      <c r="P100" s="70"/>
      <c r="Q100" s="70"/>
      <c r="R100" s="857" t="s">
        <v>97</v>
      </c>
      <c r="S100" s="857"/>
      <c r="T100" s="197"/>
      <c r="U100" s="197"/>
      <c r="V100" s="197"/>
      <c r="W100" s="197"/>
      <c r="X100" s="197"/>
      <c r="Y100" s="197"/>
      <c r="Z100" s="72"/>
    </row>
    <row r="101" spans="1:26" s="2" customFormat="1" ht="18.75" customHeight="1" x14ac:dyDescent="0.25">
      <c r="A101" s="837" t="s">
        <v>97</v>
      </c>
      <c r="B101" s="837"/>
      <c r="C101" s="236"/>
      <c r="D101" s="236"/>
      <c r="E101" s="65"/>
      <c r="F101" s="65"/>
      <c r="G101" s="65"/>
      <c r="H101" s="65"/>
      <c r="I101" s="65"/>
      <c r="J101" s="595">
        <f>SUM('0040:4131'!J79)</f>
        <v>11.5</v>
      </c>
      <c r="K101" s="70"/>
      <c r="L101" s="70"/>
      <c r="M101" s="71"/>
      <c r="N101" s="70"/>
      <c r="O101" s="70"/>
      <c r="P101" s="70"/>
      <c r="Q101" s="70"/>
      <c r="R101" s="863" t="s">
        <v>98</v>
      </c>
      <c r="S101" s="863"/>
      <c r="T101" s="200"/>
      <c r="U101" s="200"/>
      <c r="V101" s="200"/>
      <c r="W101" s="200"/>
      <c r="X101" s="200"/>
      <c r="Y101" s="197"/>
      <c r="Z101" s="72"/>
    </row>
    <row r="102" spans="1:26" s="2" customFormat="1" ht="17.25" customHeight="1" x14ac:dyDescent="0.25">
      <c r="A102" s="864" t="s">
        <v>98</v>
      </c>
      <c r="B102" s="864"/>
      <c r="C102" s="231"/>
      <c r="D102" s="231"/>
      <c r="E102" s="73"/>
      <c r="F102" s="73"/>
      <c r="G102" s="73"/>
      <c r="H102" s="73"/>
      <c r="I102" s="73"/>
      <c r="J102" s="595">
        <f>SUM('0040:4131'!J80)</f>
        <v>43.360000000000007</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593.86</v>
      </c>
      <c r="K103" s="70"/>
      <c r="L103" s="70"/>
      <c r="M103" s="71"/>
      <c r="N103" s="70"/>
      <c r="O103" s="70"/>
      <c r="P103" s="70"/>
      <c r="Q103" s="70"/>
      <c r="R103" s="238"/>
      <c r="S103" s="238"/>
      <c r="T103" s="238"/>
      <c r="U103" s="238"/>
      <c r="V103" s="164"/>
      <c r="W103" s="260"/>
      <c r="X103" s="260" t="s">
        <v>100</v>
      </c>
      <c r="Y103" s="201">
        <f>J104</f>
        <v>11461.43</v>
      </c>
      <c r="Z103" s="72"/>
    </row>
    <row r="104" spans="1:26" s="2" customFormat="1" ht="18.75" customHeight="1" x14ac:dyDescent="0.25">
      <c r="A104" s="233"/>
      <c r="B104" s="233"/>
      <c r="C104" s="233"/>
      <c r="D104" s="233"/>
      <c r="E104" s="233"/>
      <c r="F104" s="233"/>
      <c r="G104" s="31"/>
      <c r="H104" s="232"/>
      <c r="I104" s="232" t="s">
        <v>100</v>
      </c>
      <c r="J104" s="74">
        <f>'0040'!J82</f>
        <v>11461.43</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858" t="s">
        <v>101</v>
      </c>
      <c r="S105" s="858"/>
      <c r="T105" s="170"/>
      <c r="U105" s="170"/>
      <c r="V105" s="171">
        <f>F106</f>
        <v>63269727</v>
      </c>
      <c r="W105" s="239" t="s">
        <v>81</v>
      </c>
      <c r="X105" s="176">
        <f>IFERROR(ROUND(Y102/Y103,6),0)</f>
        <v>0</v>
      </c>
      <c r="Y105" s="266">
        <f>ROUND(V105*X105,2)</f>
        <v>0</v>
      </c>
      <c r="Z105" s="72"/>
    </row>
    <row r="106" spans="1:26" s="2" customFormat="1" ht="21" customHeight="1" x14ac:dyDescent="0.25">
      <c r="A106" s="859" t="s">
        <v>101</v>
      </c>
      <c r="B106" s="859"/>
      <c r="C106" s="230"/>
      <c r="D106" s="230"/>
      <c r="F106" s="476">
        <f>'0040'!G84</f>
        <v>63269727</v>
      </c>
      <c r="H106" s="223" t="s">
        <v>81</v>
      </c>
      <c r="I106" s="41">
        <f>IFERROR(ROUND(J103/J104,6),0)</f>
        <v>5.1813999999999999E-2</v>
      </c>
      <c r="J106" s="62">
        <f>ROUND(F106*I106,2)</f>
        <v>3278257.63</v>
      </c>
      <c r="K106" s="70"/>
      <c r="L106" s="70"/>
      <c r="M106" s="71"/>
      <c r="N106" s="70"/>
      <c r="O106" s="70"/>
      <c r="P106" s="70"/>
      <c r="Q106" s="70"/>
      <c r="R106" s="860" t="s">
        <v>171</v>
      </c>
      <c r="S106" s="860"/>
      <c r="T106" s="860"/>
      <c r="U106" s="253"/>
      <c r="V106" s="274"/>
      <c r="W106" s="239"/>
      <c r="X106" s="176"/>
      <c r="Y106" s="266"/>
    </row>
    <row r="107" spans="1:26" x14ac:dyDescent="0.25">
      <c r="A107" s="380"/>
      <c r="D107" s="425"/>
      <c r="E107" s="452"/>
      <c r="F107" s="480"/>
      <c r="G107" s="464"/>
      <c r="H107" s="477"/>
      <c r="I107" s="414"/>
      <c r="K107" s="478"/>
      <c r="L107" s="478"/>
    </row>
    <row r="108" spans="1:26" x14ac:dyDescent="0.25">
      <c r="A108" s="825" t="s">
        <v>483</v>
      </c>
      <c r="B108" s="813"/>
      <c r="C108" s="813"/>
      <c r="D108" s="425"/>
      <c r="E108" s="452" t="s">
        <v>103</v>
      </c>
      <c r="F108" s="476">
        <f>'0040'!G85</f>
        <v>268816278</v>
      </c>
      <c r="G108" s="464" t="s">
        <v>81</v>
      </c>
      <c r="H108" s="477">
        <f>H75</f>
        <v>0.105225</v>
      </c>
      <c r="I108" s="414">
        <f>SUM('0040:4131'!J85)</f>
        <v>29653930.070000004</v>
      </c>
      <c r="K108" s="478">
        <f>F108*H108</f>
        <v>28286192.85255</v>
      </c>
      <c r="L108" s="478">
        <f>I108-K108</f>
        <v>1367737.2174500041</v>
      </c>
    </row>
    <row r="109" spans="1:26" x14ac:dyDescent="0.25">
      <c r="A109" s="380"/>
      <c r="B109" s="425"/>
      <c r="C109" s="425"/>
      <c r="D109" s="425"/>
      <c r="E109" s="452"/>
      <c r="F109" s="480"/>
      <c r="G109" s="464"/>
      <c r="H109" s="477"/>
      <c r="I109" s="414"/>
    </row>
    <row r="110" spans="1:26" x14ac:dyDescent="0.25">
      <c r="A110" s="825" t="s">
        <v>484</v>
      </c>
      <c r="B110" s="813"/>
      <c r="C110" s="813"/>
      <c r="D110" s="425"/>
      <c r="E110" s="452" t="s">
        <v>103</v>
      </c>
      <c r="F110" s="476">
        <f>'[2]1461'!F96</f>
        <v>0</v>
      </c>
      <c r="G110" s="464" t="s">
        <v>81</v>
      </c>
      <c r="H110" s="477">
        <f>H75</f>
        <v>0.105225</v>
      </c>
      <c r="I110" s="414">
        <f>SUM('[2]0040:4131'!I96)</f>
        <v>0</v>
      </c>
    </row>
    <row r="111" spans="1:26" x14ac:dyDescent="0.25">
      <c r="A111" s="377"/>
    </row>
    <row r="112" spans="1:26" x14ac:dyDescent="0.25">
      <c r="A112" s="380" t="s">
        <v>485</v>
      </c>
      <c r="B112" s="425"/>
      <c r="C112" s="425"/>
      <c r="D112" s="425"/>
      <c r="E112" s="452" t="s">
        <v>84</v>
      </c>
      <c r="F112" s="476">
        <f>'[2]1461'!F98</f>
        <v>0</v>
      </c>
      <c r="G112" s="464" t="s">
        <v>81</v>
      </c>
      <c r="H112" s="477">
        <f>H72</f>
        <v>9.6244999999999997E-2</v>
      </c>
      <c r="I112" s="414">
        <f>SUM('[2]0040:4131'!I98)</f>
        <v>0</v>
      </c>
    </row>
    <row r="113" spans="1:9" x14ac:dyDescent="0.25">
      <c r="A113" s="380"/>
      <c r="B113" s="425"/>
      <c r="C113" s="425"/>
      <c r="D113" s="425"/>
      <c r="E113" s="452"/>
      <c r="F113" s="480"/>
      <c r="G113" s="464"/>
      <c r="H113" s="477"/>
      <c r="I113" s="414"/>
    </row>
    <row r="114" spans="1:9" x14ac:dyDescent="0.25">
      <c r="A114" s="380"/>
      <c r="B114" s="425"/>
      <c r="C114" s="425"/>
      <c r="D114" s="425"/>
      <c r="E114" s="452"/>
      <c r="F114" s="480"/>
      <c r="G114" s="464"/>
      <c r="H114" s="477"/>
      <c r="I114" s="414"/>
    </row>
    <row r="115" spans="1:9" x14ac:dyDescent="0.25">
      <c r="A115" s="479" t="s">
        <v>106</v>
      </c>
    </row>
    <row r="116" spans="1:9" x14ac:dyDescent="0.25">
      <c r="B116" s="425"/>
      <c r="C116" s="832" t="s">
        <v>9</v>
      </c>
      <c r="D116" s="832"/>
      <c r="E116" s="425"/>
      <c r="F116" s="466" t="s">
        <v>389</v>
      </c>
      <c r="G116" s="425"/>
      <c r="H116" s="425"/>
      <c r="I116" s="425"/>
    </row>
    <row r="117" spans="1:9" x14ac:dyDescent="0.25">
      <c r="A117" s="377"/>
      <c r="B117" s="483"/>
      <c r="C117" s="833" t="s">
        <v>390</v>
      </c>
      <c r="D117" s="833"/>
      <c r="E117" s="484" t="s">
        <v>391</v>
      </c>
      <c r="F117" s="485" t="s">
        <v>392</v>
      </c>
      <c r="G117" s="386"/>
      <c r="H117" s="386"/>
      <c r="I117" s="386"/>
    </row>
    <row r="118" spans="1:9" x14ac:dyDescent="0.25">
      <c r="A118" s="423"/>
      <c r="B118" s="439" t="s">
        <v>393</v>
      </c>
      <c r="C118" s="834">
        <f>SUM('0040:4131'!B90)</f>
        <v>7875.0965000000006</v>
      </c>
      <c r="D118" s="834" t="e">
        <f>SUM('[2]1461:4131'!D101)</f>
        <v>#REF!</v>
      </c>
      <c r="E118" s="458">
        <f>[2]Consolidated!$E$105</f>
        <v>1.0355000000000001</v>
      </c>
      <c r="F118" s="486">
        <f>'0040'!G90</f>
        <v>958.42</v>
      </c>
      <c r="G118" s="466" t="s">
        <v>68</v>
      </c>
      <c r="H118" s="414">
        <f>SUM('0040:4131'!I90)</f>
        <v>7815591.5700000003</v>
      </c>
      <c r="I118" s="427"/>
    </row>
    <row r="119" spans="1:9" x14ac:dyDescent="0.25">
      <c r="A119" s="487"/>
      <c r="B119" s="487" t="s">
        <v>394</v>
      </c>
      <c r="C119" s="834">
        <f>SUM('0040:4131'!B91)</f>
        <v>9762.2744999999995</v>
      </c>
      <c r="D119" s="834" t="e">
        <f>SUM('[2]1461:4131'!D102)</f>
        <v>#REF!</v>
      </c>
      <c r="E119" s="458">
        <f>[2]Consolidated!$E$106</f>
        <v>1.0355000000000001</v>
      </c>
      <c r="F119" s="486">
        <f>'0040'!G91</f>
        <v>915.09</v>
      </c>
      <c r="G119" s="466" t="s">
        <v>68</v>
      </c>
      <c r="H119" s="414">
        <f>SUM('0040:4131'!I91)</f>
        <v>9250494.0700000003</v>
      </c>
    </row>
    <row r="120" spans="1:9" ht="16.5" thickBot="1" x14ac:dyDescent="0.3">
      <c r="A120" s="439"/>
      <c r="B120" s="439" t="s">
        <v>395</v>
      </c>
      <c r="C120" s="835">
        <f>SUM('0040:4131'!B92)</f>
        <v>7630.1090000000004</v>
      </c>
      <c r="D120" s="835" t="e">
        <f>SUM('[2]1461:4131'!D103)</f>
        <v>#REF!</v>
      </c>
      <c r="E120" s="458">
        <f>[2]Consolidated!$E$107</f>
        <v>1.0355000000000001</v>
      </c>
      <c r="F120" s="486">
        <f>'0040'!G92</f>
        <v>917.3</v>
      </c>
      <c r="G120" s="466" t="s">
        <v>68</v>
      </c>
      <c r="H120" s="414">
        <f>SUM('0040:4131'!I92)</f>
        <v>7247566.9800000004</v>
      </c>
    </row>
    <row r="121" spans="1:9" ht="16.5" thickTop="1" x14ac:dyDescent="0.25">
      <c r="A121" s="488"/>
      <c r="B121" s="489" t="s">
        <v>396</v>
      </c>
      <c r="C121" s="834">
        <f>SUM('0040:4131'!B93)</f>
        <v>25267.48</v>
      </c>
      <c r="D121" s="834" t="e">
        <f>SUM('[2]1461:4131'!D104)</f>
        <v>#REF!</v>
      </c>
      <c r="E121" s="490"/>
      <c r="F121" s="490"/>
      <c r="G121" s="490"/>
      <c r="H121" s="491" t="s">
        <v>397</v>
      </c>
      <c r="I121" s="414">
        <f>SUM('0040:4131'!J93)</f>
        <v>24313652.620000001</v>
      </c>
    </row>
    <row r="122" spans="1:9" x14ac:dyDescent="0.25">
      <c r="A122" s="840" t="s">
        <v>113</v>
      </c>
      <c r="B122" s="840"/>
      <c r="C122" s="840"/>
      <c r="D122" s="840"/>
      <c r="E122" s="840"/>
      <c r="F122" s="840"/>
      <c r="G122" s="840"/>
      <c r="H122" s="840"/>
      <c r="I122" s="840"/>
    </row>
    <row r="123" spans="1:9" x14ac:dyDescent="0.25">
      <c r="A123" s="492"/>
      <c r="B123" s="492"/>
      <c r="C123" s="492"/>
      <c r="D123" s="492"/>
      <c r="E123" s="492"/>
      <c r="F123" s="492"/>
      <c r="G123" s="492"/>
      <c r="H123" s="492"/>
      <c r="I123" s="492"/>
    </row>
    <row r="124" spans="1:9" x14ac:dyDescent="0.25">
      <c r="A124" s="380" t="s">
        <v>114</v>
      </c>
      <c r="C124" s="452"/>
      <c r="D124" s="425"/>
      <c r="E124" s="452" t="s">
        <v>115</v>
      </c>
      <c r="F124" s="841"/>
      <c r="G124" s="841"/>
      <c r="H124" s="841"/>
      <c r="I124" s="841"/>
    </row>
    <row r="125" spans="1:9" x14ac:dyDescent="0.25">
      <c r="B125" s="425"/>
      <c r="C125" s="400" t="s">
        <v>156</v>
      </c>
      <c r="D125" s="457" t="s">
        <v>157</v>
      </c>
      <c r="E125" s="401" t="s">
        <v>398</v>
      </c>
      <c r="F125" s="452"/>
      <c r="G125" s="452"/>
      <c r="H125" s="452"/>
      <c r="I125" s="452"/>
    </row>
    <row r="126" spans="1:9" x14ac:dyDescent="0.25">
      <c r="B126" s="425"/>
      <c r="C126" s="429" t="s">
        <v>54</v>
      </c>
      <c r="D126" s="429" t="s">
        <v>54</v>
      </c>
      <c r="E126" s="404" t="s">
        <v>54</v>
      </c>
      <c r="F126" s="452"/>
      <c r="G126" s="452"/>
      <c r="H126" s="452"/>
      <c r="I126" s="452"/>
    </row>
    <row r="127" spans="1:9" x14ac:dyDescent="0.25">
      <c r="A127" s="827" t="s">
        <v>399</v>
      </c>
      <c r="B127" s="842"/>
      <c r="C127" s="415">
        <f>SUM('0040:4131'!C97)</f>
        <v>3861</v>
      </c>
      <c r="D127" s="415">
        <f>SUM('0040:4131'!D97)</f>
        <v>3948</v>
      </c>
      <c r="E127" s="412">
        <f>SUM('0040:4131'!E97)</f>
        <v>3904.5</v>
      </c>
      <c r="F127" s="493" t="s">
        <v>117</v>
      </c>
      <c r="G127" s="494">
        <f>'0040'!I97</f>
        <v>617</v>
      </c>
      <c r="I127" s="414">
        <f>SUM('0040:4131'!J97)</f>
        <v>2409076.5</v>
      </c>
    </row>
    <row r="128" spans="1:9" x14ac:dyDescent="0.25">
      <c r="A128" s="827" t="s">
        <v>400</v>
      </c>
      <c r="B128" s="842"/>
      <c r="C128" s="415">
        <f>SUM('0040:4131'!C98)</f>
        <v>2</v>
      </c>
      <c r="D128" s="415">
        <f>SUM('0040:4131'!D98)</f>
        <v>1</v>
      </c>
      <c r="E128" s="412">
        <f>SUM('[2]0040:4131'!E114)</f>
        <v>1.5</v>
      </c>
      <c r="F128" s="493" t="s">
        <v>117</v>
      </c>
      <c r="G128" s="494">
        <f>'0040'!I98</f>
        <v>1870</v>
      </c>
      <c r="I128" s="414">
        <f>SUM('0040:4131'!J98)</f>
        <v>2805</v>
      </c>
    </row>
    <row r="129" spans="1:10" hidden="1" x14ac:dyDescent="0.25">
      <c r="A129" s="495"/>
      <c r="B129" s="495"/>
      <c r="C129" s="496"/>
      <c r="D129" s="496"/>
      <c r="E129" s="496"/>
      <c r="F129" s="496"/>
      <c r="G129" s="497"/>
      <c r="H129" s="498"/>
      <c r="I129" s="414"/>
    </row>
    <row r="130" spans="1:10" x14ac:dyDescent="0.25">
      <c r="A130" s="495"/>
      <c r="B130" s="495"/>
      <c r="C130" s="496"/>
      <c r="D130" s="496"/>
      <c r="E130" s="496"/>
      <c r="F130" s="496"/>
      <c r="G130" s="497"/>
      <c r="H130" s="498"/>
      <c r="I130" s="414"/>
    </row>
    <row r="131" spans="1:10" ht="15.75" hidden="1" customHeight="1" x14ac:dyDescent="0.25">
      <c r="A131" s="825" t="s">
        <v>401</v>
      </c>
      <c r="B131" s="813"/>
      <c r="C131" s="813"/>
      <c r="D131" s="425"/>
      <c r="E131" s="466" t="s">
        <v>120</v>
      </c>
      <c r="F131" s="832"/>
      <c r="G131" s="832"/>
      <c r="H131" s="832"/>
      <c r="I131" s="832"/>
    </row>
    <row r="132" spans="1:10" hidden="1" x14ac:dyDescent="0.25">
      <c r="B132" s="425"/>
      <c r="C132" s="833" t="s">
        <v>122</v>
      </c>
      <c r="D132" s="833"/>
      <c r="E132" s="833"/>
      <c r="F132" s="464"/>
      <c r="G132" s="464"/>
      <c r="H132" s="466" t="s">
        <v>402</v>
      </c>
      <c r="I132" s="464"/>
    </row>
    <row r="133" spans="1:10" hidden="1" x14ac:dyDescent="0.25">
      <c r="B133" s="425"/>
      <c r="C133" s="400" t="str">
        <f>C125</f>
        <v>Oct 2024</v>
      </c>
      <c r="D133" s="400" t="str">
        <f>D125</f>
        <v>Feb 2025</v>
      </c>
      <c r="E133" s="499" t="s">
        <v>125</v>
      </c>
      <c r="F133" s="826" t="s">
        <v>403</v>
      </c>
      <c r="G133" s="832"/>
      <c r="H133" s="464" t="s">
        <v>404</v>
      </c>
      <c r="I133" s="464"/>
    </row>
    <row r="134" spans="1:10" ht="15.75" hidden="1" customHeight="1" x14ac:dyDescent="0.25">
      <c r="A134" s="833" t="s">
        <v>121</v>
      </c>
      <c r="B134" s="833"/>
      <c r="C134" s="404" t="s">
        <v>54</v>
      </c>
      <c r="D134" s="404" t="s">
        <v>54</v>
      </c>
      <c r="E134" s="462" t="s">
        <v>54</v>
      </c>
      <c r="F134" s="833" t="s">
        <v>389</v>
      </c>
      <c r="G134" s="833"/>
      <c r="H134" s="462" t="s">
        <v>389</v>
      </c>
      <c r="I134" s="462" t="s">
        <v>125</v>
      </c>
    </row>
    <row r="135" spans="1:10" ht="15.75" hidden="1" customHeight="1" x14ac:dyDescent="0.25">
      <c r="A135" s="838" t="s">
        <v>126</v>
      </c>
      <c r="B135" s="838"/>
      <c r="C135" s="411">
        <v>0</v>
      </c>
      <c r="D135" s="411">
        <v>0</v>
      </c>
      <c r="E135" s="418">
        <f>IF(D31=0,C135*2,C135+D135)</f>
        <v>0</v>
      </c>
      <c r="F135" s="839">
        <v>0</v>
      </c>
      <c r="G135" s="839"/>
      <c r="H135" s="500">
        <f>IF(C135=0,0,125)</f>
        <v>0</v>
      </c>
      <c r="I135" s="414">
        <f>ROUND((H135+F135)*E135,2)</f>
        <v>0</v>
      </c>
    </row>
    <row r="136" spans="1:10" ht="15.75" hidden="1" customHeight="1" x14ac:dyDescent="0.25">
      <c r="A136" s="822" t="s">
        <v>127</v>
      </c>
      <c r="B136" s="822"/>
      <c r="C136" s="415">
        <v>0</v>
      </c>
      <c r="D136" s="415">
        <v>0</v>
      </c>
      <c r="E136" s="412">
        <f>IF(D32=0,C136*2,C136+D136)</f>
        <v>0</v>
      </c>
      <c r="F136" s="845">
        <f>ROUND(F135/2,2)</f>
        <v>0</v>
      </c>
      <c r="G136" s="845"/>
      <c r="H136" s="500">
        <f>IF(C136=0,0,62.5)</f>
        <v>0</v>
      </c>
      <c r="I136" s="414">
        <f>ROUND((H136+F136)*E136,2)</f>
        <v>0</v>
      </c>
    </row>
    <row r="137" spans="1:10" ht="15.75" hidden="1" customHeight="1" x14ac:dyDescent="0.25">
      <c r="A137" s="822" t="s">
        <v>128</v>
      </c>
      <c r="B137" s="822"/>
      <c r="C137" s="415">
        <v>0</v>
      </c>
      <c r="D137" s="415">
        <v>0</v>
      </c>
      <c r="E137" s="412">
        <f>IF(D33=0,C137*2,C137+D137)</f>
        <v>0</v>
      </c>
      <c r="F137" s="846"/>
      <c r="G137" s="846"/>
      <c r="H137" s="501">
        <f>IF(H135&gt;0,436,0)</f>
        <v>0</v>
      </c>
      <c r="I137" s="414">
        <f>ROUND(H137*E137,2)</f>
        <v>0</v>
      </c>
    </row>
    <row r="138" spans="1:10" ht="16.5" hidden="1" customHeight="1" x14ac:dyDescent="0.25">
      <c r="A138" s="832" t="s">
        <v>125</v>
      </c>
      <c r="B138" s="832"/>
      <c r="C138" s="496"/>
      <c r="D138" s="496"/>
      <c r="E138" s="496"/>
      <c r="F138" s="496"/>
      <c r="G138" s="496"/>
      <c r="H138" s="496"/>
      <c r="I138" s="421">
        <f>SUM(I135:I137)</f>
        <v>0</v>
      </c>
    </row>
    <row r="139" spans="1:10" hidden="1" x14ac:dyDescent="0.25">
      <c r="A139" s="464"/>
      <c r="B139" s="464"/>
      <c r="C139" s="496"/>
      <c r="D139" s="496"/>
      <c r="E139" s="496"/>
      <c r="F139" s="496"/>
      <c r="G139" s="496"/>
      <c r="H139" s="496"/>
      <c r="I139" s="414"/>
    </row>
    <row r="140" spans="1:10" x14ac:dyDescent="0.25">
      <c r="A140" s="825" t="s">
        <v>486</v>
      </c>
      <c r="B140" s="813"/>
      <c r="C140" s="813"/>
      <c r="D140" s="425"/>
      <c r="E140" s="502" t="s">
        <v>130</v>
      </c>
      <c r="F140" s="847"/>
      <c r="G140" s="847"/>
      <c r="H140" s="847"/>
      <c r="I140" s="437">
        <f>SUM('[2]1461:4131'!I126)</f>
        <v>0</v>
      </c>
    </row>
    <row r="141" spans="1:10" x14ac:dyDescent="0.25">
      <c r="B141" s="425"/>
      <c r="C141" s="425"/>
      <c r="D141" s="425"/>
      <c r="E141" s="502"/>
      <c r="F141" s="502"/>
      <c r="G141" s="502"/>
      <c r="H141" s="502"/>
      <c r="I141" s="412"/>
    </row>
    <row r="142" spans="1:10" x14ac:dyDescent="0.25">
      <c r="A142" s="831" t="s">
        <v>125</v>
      </c>
      <c r="B142" s="831"/>
      <c r="C142" s="831"/>
      <c r="D142" s="831"/>
      <c r="E142" s="831"/>
      <c r="F142" s="831"/>
      <c r="G142" s="831"/>
      <c r="H142" s="831"/>
      <c r="I142" s="438">
        <f>SUM('0040:4131'!J107)</f>
        <v>214241176.39000008</v>
      </c>
      <c r="J142" s="503"/>
    </row>
    <row r="143" spans="1:10" x14ac:dyDescent="0.25">
      <c r="A143" s="423"/>
      <c r="B143" s="423"/>
      <c r="C143" s="423"/>
      <c r="D143" s="423"/>
      <c r="E143" s="423"/>
      <c r="F143" s="423"/>
      <c r="G143" s="423"/>
      <c r="H143" s="423"/>
      <c r="I143" s="414"/>
      <c r="J143" s="503"/>
    </row>
    <row r="144" spans="1:10" x14ac:dyDescent="0.25">
      <c r="A144" s="380" t="s">
        <v>405</v>
      </c>
      <c r="B144" s="423"/>
      <c r="C144" s="423"/>
      <c r="D144" s="423"/>
      <c r="E144" s="423"/>
      <c r="F144" s="423"/>
      <c r="G144" s="423"/>
      <c r="H144" s="423"/>
      <c r="I144" s="438">
        <f>SUM('0040:4131'!J109)</f>
        <v>204277858.34999999</v>
      </c>
      <c r="J144" s="503"/>
    </row>
    <row r="145" spans="1:13" x14ac:dyDescent="0.25">
      <c r="A145" s="423"/>
      <c r="B145" s="423"/>
      <c r="C145" s="423"/>
      <c r="D145" s="423"/>
      <c r="E145" s="423"/>
      <c r="F145" s="423"/>
      <c r="G145" s="423"/>
      <c r="H145" s="423"/>
      <c r="I145" s="414"/>
      <c r="J145" s="503"/>
    </row>
    <row r="146" spans="1:13" x14ac:dyDescent="0.25">
      <c r="A146" s="825" t="s">
        <v>406</v>
      </c>
      <c r="B146" s="813"/>
      <c r="C146" s="813"/>
      <c r="D146" s="813"/>
      <c r="E146" s="813"/>
      <c r="F146" s="813"/>
      <c r="G146" s="813"/>
      <c r="H146" s="380" t="s">
        <v>132</v>
      </c>
      <c r="I146" s="504"/>
      <c r="J146" s="503"/>
    </row>
    <row r="147" spans="1:13" x14ac:dyDescent="0.25">
      <c r="A147" s="813" t="s">
        <v>135</v>
      </c>
      <c r="B147" s="813"/>
      <c r="C147" s="813"/>
      <c r="D147" s="813"/>
      <c r="E147" s="813"/>
      <c r="F147" s="813"/>
      <c r="G147" s="813"/>
      <c r="H147" s="505"/>
      <c r="I147" s="438">
        <f>SUM('0040:4131'!J111)</f>
        <v>30234204.43</v>
      </c>
    </row>
    <row r="148" spans="1:13" x14ac:dyDescent="0.25">
      <c r="B148" s="425"/>
      <c r="C148" s="425"/>
      <c r="D148" s="425"/>
      <c r="E148" s="425"/>
      <c r="F148" s="425"/>
      <c r="G148" s="425"/>
      <c r="H148" s="496"/>
      <c r="I148" s="414"/>
    </row>
    <row r="149" spans="1:13" x14ac:dyDescent="0.25">
      <c r="A149" s="377" t="s">
        <v>185</v>
      </c>
      <c r="B149" s="425"/>
      <c r="C149" s="425"/>
      <c r="D149" s="425"/>
      <c r="E149" s="425"/>
      <c r="F149" s="425"/>
      <c r="G149" s="506"/>
      <c r="H149" s="507">
        <f>IF(H147=1,I147,I144)</f>
        <v>204277858.34999999</v>
      </c>
      <c r="I149" s="438">
        <f>SUM('0040:4131'!I114)</f>
        <v>181583506.56000006</v>
      </c>
    </row>
    <row r="150" spans="1:13" x14ac:dyDescent="0.25">
      <c r="B150" s="425"/>
      <c r="C150" s="425"/>
      <c r="D150" s="425"/>
      <c r="E150" s="425"/>
      <c r="F150" s="425"/>
      <c r="G150" s="425"/>
      <c r="H150" s="496"/>
      <c r="I150" s="414"/>
    </row>
    <row r="151" spans="1:13" x14ac:dyDescent="0.25">
      <c r="A151" s="508" t="s">
        <v>186</v>
      </c>
      <c r="B151" s="509"/>
      <c r="C151" s="509"/>
      <c r="D151" s="509"/>
      <c r="E151" s="509"/>
      <c r="F151" s="509"/>
      <c r="G151" s="509"/>
      <c r="H151" s="510"/>
      <c r="I151" s="511">
        <f>SUM('0040:4131'!J116)</f>
        <v>211045536.88000003</v>
      </c>
    </row>
    <row r="152" spans="1:13" x14ac:dyDescent="0.25">
      <c r="B152" s="425"/>
      <c r="C152" s="425"/>
      <c r="D152" s="425"/>
      <c r="E152" s="425"/>
      <c r="F152" s="425"/>
      <c r="G152" s="425"/>
      <c r="H152" s="496"/>
      <c r="I152" s="414"/>
    </row>
    <row r="153" spans="1:13" x14ac:dyDescent="0.25">
      <c r="A153" s="377" t="s">
        <v>187</v>
      </c>
      <c r="B153" s="425"/>
      <c r="C153" s="512"/>
      <c r="D153" s="425"/>
      <c r="F153" s="425"/>
      <c r="G153" s="425"/>
      <c r="H153" s="496"/>
      <c r="I153" s="513">
        <f>SUM('0040:4131'!J118)</f>
        <v>-104656090.78399999</v>
      </c>
      <c r="K153" s="478"/>
    </row>
    <row r="154" spans="1:13" x14ac:dyDescent="0.25">
      <c r="B154" s="425"/>
      <c r="C154" s="425"/>
      <c r="D154" s="425"/>
      <c r="E154" s="425"/>
      <c r="F154" s="425"/>
      <c r="G154" s="425"/>
      <c r="H154" s="496"/>
      <c r="I154" s="414"/>
    </row>
    <row r="155" spans="1:13" x14ac:dyDescent="0.25">
      <c r="A155" s="377" t="s">
        <v>188</v>
      </c>
      <c r="B155" s="425"/>
      <c r="C155" s="425"/>
      <c r="D155" s="425"/>
      <c r="E155" s="425"/>
      <c r="F155" s="425"/>
      <c r="G155" s="425"/>
      <c r="H155" s="496"/>
      <c r="I155" s="414">
        <f>SUM('0040:4131'!J114)</f>
        <v>-3195639.5100000002</v>
      </c>
    </row>
    <row r="156" spans="1:13" x14ac:dyDescent="0.25">
      <c r="A156" s="377"/>
      <c r="B156" s="425"/>
      <c r="C156" s="425"/>
      <c r="D156" s="425"/>
      <c r="E156" s="425"/>
      <c r="F156" s="425"/>
      <c r="G156" s="425"/>
      <c r="H156" s="496"/>
      <c r="I156" s="414"/>
    </row>
    <row r="157" spans="1:13" x14ac:dyDescent="0.25">
      <c r="A157" s="377" t="s">
        <v>189</v>
      </c>
      <c r="B157" s="425"/>
      <c r="C157" s="425"/>
      <c r="D157" s="425"/>
      <c r="E157" s="425"/>
      <c r="F157" s="425"/>
      <c r="G157" s="425"/>
      <c r="H157" s="496"/>
      <c r="I157" s="514">
        <f>'0040'!J122</f>
        <v>6</v>
      </c>
    </row>
    <row r="158" spans="1:13" x14ac:dyDescent="0.25">
      <c r="B158" s="425"/>
      <c r="C158" s="425"/>
      <c r="D158" s="425"/>
      <c r="E158" s="425"/>
      <c r="F158" s="425"/>
      <c r="G158" s="425"/>
      <c r="H158" s="496"/>
      <c r="I158" s="414"/>
    </row>
    <row r="159" spans="1:13" ht="16.5" thickBot="1" x14ac:dyDescent="0.3">
      <c r="A159" s="377" t="s">
        <v>190</v>
      </c>
      <c r="B159" s="425"/>
      <c r="C159" s="425"/>
      <c r="D159" s="425"/>
      <c r="E159" s="425"/>
      <c r="F159" s="425"/>
      <c r="G159" s="425"/>
      <c r="H159" s="496"/>
      <c r="I159" s="515">
        <f>SUM('0040:4131'!J124)</f>
        <v>17759251.090000004</v>
      </c>
      <c r="J159" s="478"/>
      <c r="K159" s="482"/>
      <c r="L159" s="482"/>
      <c r="M159" s="482"/>
    </row>
    <row r="160" spans="1:13" s="523" customFormat="1" ht="16.5" thickTop="1" x14ac:dyDescent="0.25">
      <c r="A160" s="516"/>
      <c r="B160" s="516"/>
      <c r="C160" s="517"/>
      <c r="D160" s="518"/>
      <c r="E160" s="519"/>
      <c r="F160" s="393"/>
      <c r="G160" s="520"/>
      <c r="H160" s="521"/>
      <c r="I160" s="522"/>
    </row>
    <row r="161" spans="1:8" x14ac:dyDescent="0.25">
      <c r="A161" s="843" t="s">
        <v>136</v>
      </c>
      <c r="B161" s="843"/>
      <c r="C161" s="843"/>
      <c r="D161" s="843"/>
      <c r="E161" s="843"/>
      <c r="F161" s="843"/>
      <c r="G161" s="843"/>
      <c r="H161" s="843"/>
    </row>
    <row r="162" spans="1:8" ht="26.25" customHeight="1" x14ac:dyDescent="0.25">
      <c r="A162" s="844" t="s">
        <v>407</v>
      </c>
      <c r="B162" s="844"/>
      <c r="C162" s="844"/>
      <c r="D162" s="844"/>
      <c r="E162" s="844"/>
      <c r="F162" s="844"/>
      <c r="G162" s="844"/>
      <c r="H162" s="844"/>
    </row>
    <row r="163" spans="1:8" x14ac:dyDescent="0.25">
      <c r="A163" s="843" t="s">
        <v>408</v>
      </c>
      <c r="B163" s="843"/>
      <c r="C163" s="843"/>
      <c r="D163" s="843"/>
      <c r="E163" s="843"/>
      <c r="F163" s="843"/>
      <c r="G163" s="843"/>
      <c r="H163" s="843"/>
    </row>
    <row r="164" spans="1:8" x14ac:dyDescent="0.25">
      <c r="A164" s="843" t="s">
        <v>409</v>
      </c>
      <c r="B164" s="843"/>
      <c r="C164" s="843"/>
      <c r="D164" s="843"/>
      <c r="E164" s="843"/>
      <c r="F164" s="843"/>
      <c r="G164" s="843"/>
      <c r="H164" s="843"/>
    </row>
    <row r="165" spans="1:8" x14ac:dyDescent="0.25">
      <c r="A165" s="843" t="s">
        <v>410</v>
      </c>
      <c r="B165" s="843"/>
      <c r="C165" s="843"/>
      <c r="D165" s="843"/>
      <c r="E165" s="843"/>
      <c r="F165" s="843"/>
      <c r="G165" s="843"/>
      <c r="H165" s="843"/>
    </row>
    <row r="166" spans="1:8" x14ac:dyDescent="0.25">
      <c r="A166" s="843" t="s">
        <v>411</v>
      </c>
      <c r="B166" s="843"/>
      <c r="C166" s="843"/>
      <c r="D166" s="843"/>
      <c r="E166" s="843"/>
      <c r="F166" s="843"/>
      <c r="G166" s="843"/>
      <c r="H166" s="843"/>
    </row>
    <row r="167" spans="1:8" x14ac:dyDescent="0.25">
      <c r="A167" s="843" t="s">
        <v>412</v>
      </c>
      <c r="B167" s="843"/>
      <c r="C167" s="843"/>
      <c r="D167" s="843"/>
      <c r="E167" s="843"/>
      <c r="F167" s="843"/>
      <c r="G167" s="843"/>
      <c r="H167" s="843"/>
    </row>
    <row r="168" spans="1:8" ht="26.25" customHeight="1" x14ac:dyDescent="0.25">
      <c r="A168" s="844" t="s">
        <v>413</v>
      </c>
      <c r="B168" s="844"/>
      <c r="C168" s="844"/>
      <c r="D168" s="844"/>
      <c r="E168" s="844"/>
      <c r="F168" s="844"/>
      <c r="G168" s="844"/>
      <c r="H168" s="844"/>
    </row>
    <row r="169" spans="1:8" ht="26.25" customHeight="1" x14ac:dyDescent="0.25">
      <c r="A169" s="844" t="s">
        <v>144</v>
      </c>
      <c r="B169" s="844"/>
      <c r="C169" s="844"/>
      <c r="D169" s="844"/>
      <c r="E169" s="844"/>
      <c r="F169" s="844"/>
      <c r="G169" s="844"/>
      <c r="H169" s="844"/>
    </row>
    <row r="170" spans="1:8" ht="26.25" customHeight="1" x14ac:dyDescent="0.25">
      <c r="A170" s="844" t="s">
        <v>414</v>
      </c>
      <c r="B170" s="844"/>
      <c r="C170" s="844"/>
      <c r="D170" s="844"/>
      <c r="E170" s="844"/>
      <c r="F170" s="844"/>
      <c r="G170" s="844"/>
      <c r="H170" s="844"/>
    </row>
    <row r="171" spans="1:8" ht="16.5" customHeight="1" x14ac:dyDescent="0.25">
      <c r="A171" s="524" t="s">
        <v>146</v>
      </c>
      <c r="B171" s="524"/>
      <c r="C171" s="524"/>
      <c r="D171" s="524"/>
      <c r="E171" s="524"/>
      <c r="F171" s="524"/>
      <c r="G171" s="524"/>
      <c r="H171" s="524"/>
    </row>
    <row r="172" spans="1:8" ht="26.25" customHeight="1" x14ac:dyDescent="0.25">
      <c r="A172" s="844" t="s">
        <v>147</v>
      </c>
      <c r="B172" s="844"/>
      <c r="C172" s="844"/>
      <c r="D172" s="844"/>
      <c r="E172" s="844"/>
      <c r="F172" s="844"/>
      <c r="G172" s="844"/>
      <c r="H172" s="844"/>
    </row>
    <row r="173" spans="1:8" ht="26.25" customHeight="1" x14ac:dyDescent="0.25">
      <c r="A173" s="844" t="s">
        <v>148</v>
      </c>
      <c r="B173" s="844"/>
      <c r="C173" s="844"/>
      <c r="D173" s="844"/>
      <c r="E173" s="844"/>
      <c r="F173" s="844"/>
      <c r="G173" s="844"/>
      <c r="H173" s="844"/>
    </row>
    <row r="174" spans="1:8" x14ac:dyDescent="0.25">
      <c r="A174" s="848" t="s">
        <v>149</v>
      </c>
      <c r="B174" s="844"/>
      <c r="C174" s="844"/>
      <c r="D174" s="844"/>
      <c r="E174" s="844"/>
      <c r="F174" s="844"/>
      <c r="G174" s="844"/>
      <c r="H174" s="844"/>
    </row>
    <row r="175" spans="1:8" ht="54.75" customHeight="1" x14ac:dyDescent="0.25">
      <c r="A175" s="849" t="s">
        <v>150</v>
      </c>
      <c r="B175" s="849"/>
      <c r="C175" s="849"/>
      <c r="D175" s="849"/>
      <c r="E175" s="849"/>
      <c r="F175" s="849"/>
      <c r="G175" s="849"/>
      <c r="H175" s="849"/>
    </row>
    <row r="176" spans="1:8" ht="42.75" customHeight="1" x14ac:dyDescent="0.25">
      <c r="A176" s="849" t="s">
        <v>151</v>
      </c>
      <c r="B176" s="849"/>
      <c r="C176" s="849"/>
      <c r="D176" s="849"/>
      <c r="E176" s="849"/>
      <c r="F176" s="849"/>
      <c r="G176" s="849"/>
      <c r="H176" s="849"/>
    </row>
    <row r="177" spans="1:8" x14ac:dyDescent="0.25">
      <c r="A177" s="525"/>
      <c r="B177" s="525"/>
      <c r="C177" s="525"/>
      <c r="D177" s="525"/>
      <c r="E177" s="525"/>
      <c r="F177" s="525"/>
      <c r="G177" s="525"/>
      <c r="H177" s="525"/>
    </row>
    <row r="178" spans="1:8" x14ac:dyDescent="0.25">
      <c r="A178" s="848" t="s">
        <v>152</v>
      </c>
      <c r="B178" s="848"/>
      <c r="C178" s="848"/>
      <c r="D178" s="848"/>
      <c r="E178" s="848"/>
      <c r="F178" s="848"/>
      <c r="G178" s="848"/>
      <c r="H178" s="848"/>
    </row>
    <row r="179" spans="1:8" ht="26.25" customHeight="1" x14ac:dyDescent="0.25">
      <c r="A179" s="849" t="s">
        <v>153</v>
      </c>
      <c r="B179" s="849"/>
      <c r="C179" s="849"/>
      <c r="D179" s="849"/>
      <c r="E179" s="849"/>
      <c r="F179" s="849"/>
      <c r="G179" s="849"/>
      <c r="H179" s="849"/>
    </row>
    <row r="180" spans="1:8" x14ac:dyDescent="0.25">
      <c r="A180" s="850" t="s">
        <v>154</v>
      </c>
      <c r="B180" s="850"/>
      <c r="C180" s="850"/>
      <c r="D180" s="850"/>
      <c r="E180" s="850"/>
      <c r="F180" s="850"/>
      <c r="G180" s="850"/>
      <c r="H180" s="850"/>
    </row>
  </sheetData>
  <mergeCells count="130">
    <mergeCell ref="R105:S105"/>
    <mergeCell ref="A106:B106"/>
    <mergeCell ref="R106:T106"/>
    <mergeCell ref="R98:S98"/>
    <mergeCell ref="A99:B99"/>
    <mergeCell ref="R100:S100"/>
    <mergeCell ref="A101:B101"/>
    <mergeCell ref="R101:S101"/>
    <mergeCell ref="A102:B102"/>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47:G147"/>
    <mergeCell ref="A161:H161"/>
    <mergeCell ref="A162:H162"/>
    <mergeCell ref="A163:H163"/>
    <mergeCell ref="A136:B136"/>
    <mergeCell ref="F136:G136"/>
    <mergeCell ref="A137:B137"/>
    <mergeCell ref="F137:G137"/>
    <mergeCell ref="A138:B138"/>
    <mergeCell ref="A140:C140"/>
    <mergeCell ref="F140:H140"/>
    <mergeCell ref="C132:E132"/>
    <mergeCell ref="F133:G133"/>
    <mergeCell ref="A134:B134"/>
    <mergeCell ref="F134:G134"/>
    <mergeCell ref="A135:B135"/>
    <mergeCell ref="F135:G135"/>
    <mergeCell ref="A122:I122"/>
    <mergeCell ref="F124:I124"/>
    <mergeCell ref="A127:B127"/>
    <mergeCell ref="A128:B128"/>
    <mergeCell ref="A131:C131"/>
    <mergeCell ref="F131:I13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A74:B74"/>
    <mergeCell ref="D74:G74"/>
    <mergeCell ref="A77:B77"/>
    <mergeCell ref="D77:G77"/>
    <mergeCell ref="A80:B80"/>
    <mergeCell ref="D80:G80"/>
    <mergeCell ref="A42:B42"/>
    <mergeCell ref="A43:B43"/>
    <mergeCell ref="A44:B44"/>
    <mergeCell ref="A59:B67"/>
    <mergeCell ref="F68:H68"/>
    <mergeCell ref="A71:B71"/>
    <mergeCell ref="D71:G71"/>
    <mergeCell ref="F31:G31"/>
    <mergeCell ref="A32:B32"/>
    <mergeCell ref="A38:B38"/>
    <mergeCell ref="A39:B39"/>
    <mergeCell ref="A40:B40"/>
    <mergeCell ref="A41:B41"/>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A16:B16"/>
    <mergeCell ref="F16:G16"/>
    <mergeCell ref="A17:B17"/>
    <mergeCell ref="F17:G17"/>
    <mergeCell ref="A18:B18"/>
    <mergeCell ref="F18:G18"/>
    <mergeCell ref="A13:B13"/>
    <mergeCell ref="F13:G13"/>
    <mergeCell ref="A14:B14"/>
    <mergeCell ref="F14:G14"/>
    <mergeCell ref="A15:B15"/>
    <mergeCell ref="F15:G15"/>
    <mergeCell ref="B1:I1"/>
    <mergeCell ref="A4:B4"/>
    <mergeCell ref="C4:E4"/>
    <mergeCell ref="F11:G11"/>
    <mergeCell ref="A12:B12"/>
    <mergeCell ref="F12:G1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workbookViewId="0">
      <selection activeCell="A5" sqref="A5:J5"/>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104" t="s">
        <v>155</v>
      </c>
      <c r="B2" s="102"/>
      <c r="C2" s="102"/>
      <c r="D2" s="102"/>
      <c r="E2" s="100"/>
      <c r="F2" s="100"/>
      <c r="G2" s="100"/>
      <c r="H2" s="100"/>
      <c r="I2" s="100"/>
      <c r="J2" s="100"/>
      <c r="K2" s="6"/>
      <c r="L2" s="6"/>
      <c r="M2" s="6"/>
      <c r="N2" s="6"/>
      <c r="O2" s="6"/>
      <c r="P2" s="6"/>
      <c r="Q2" s="6"/>
      <c r="R2" s="873" t="str">
        <f>Revenue_Estimate_Worksheet_for___________Charter_School</f>
        <v>Revenue Estimate Worksheet: Palm Beach Preparatory Middle School 0040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85"/>
      <c r="D4" s="225" t="s">
        <v>183</v>
      </c>
      <c r="E4" s="225"/>
      <c r="H4" s="281">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9"/>
      <c r="D6" s="9"/>
      <c r="E6" s="982">
        <v>5372.6</v>
      </c>
      <c r="F6" s="982"/>
      <c r="G6" s="983" t="s">
        <v>5</v>
      </c>
      <c r="H6" s="983"/>
      <c r="I6" s="283">
        <f>INDEX('[1]Detail 2025-26 FEFP Second'!$C$1:$C$65536,MATCH('0040'!$A$1,'[1]Detail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696" t="s">
        <v>7</v>
      </c>
      <c r="M8" s="2"/>
      <c r="R8" s="144"/>
      <c r="S8" s="144"/>
      <c r="T8" s="148"/>
      <c r="U8" s="148"/>
      <c r="V8" s="149"/>
      <c r="W8" s="149"/>
      <c r="X8" s="150"/>
      <c r="Y8" s="151" t="s">
        <v>7</v>
      </c>
    </row>
    <row r="9" spans="1:25" ht="15.75" customHeight="1" x14ac:dyDescent="0.25">
      <c r="A9" s="9"/>
      <c r="B9" s="9"/>
      <c r="C9" s="111" t="s">
        <v>156</v>
      </c>
      <c r="D9" s="112" t="s">
        <v>157</v>
      </c>
      <c r="E9" s="13"/>
      <c r="F9" s="13"/>
      <c r="G9" s="984" t="s">
        <v>8</v>
      </c>
      <c r="H9" s="984"/>
      <c r="I9" s="15" t="s">
        <v>9</v>
      </c>
      <c r="J9" s="16" t="s">
        <v>10</v>
      </c>
      <c r="M9" s="2"/>
      <c r="R9" s="144"/>
      <c r="S9" s="144"/>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115"/>
      <c r="D12" s="115"/>
      <c r="E12" s="979">
        <f t="shared" ref="E12:E27" si="0">IF($D$28=0,C12*2,C12+D12)</f>
        <v>0</v>
      </c>
      <c r="F12" s="979"/>
      <c r="G12" s="980">
        <v>1.1080000000000001</v>
      </c>
      <c r="H12" s="980"/>
      <c r="I12" s="22">
        <f>ROUND(E12*G12,4)</f>
        <v>0</v>
      </c>
      <c r="J12" s="127">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697"/>
      <c r="D13" s="697"/>
      <c r="E13" s="965">
        <f t="shared" si="0"/>
        <v>0</v>
      </c>
      <c r="F13" s="965"/>
      <c r="G13" s="966">
        <v>1.1080000000000001</v>
      </c>
      <c r="H13" s="966"/>
      <c r="I13" s="22">
        <f t="shared" ref="I13:I27" si="2">ROUND(E13*G13,4)</f>
        <v>0</v>
      </c>
      <c r="J13" s="127">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697">
        <v>10.53</v>
      </c>
      <c r="D14" s="697">
        <v>8.42</v>
      </c>
      <c r="E14" s="965">
        <f t="shared" si="0"/>
        <v>18.95</v>
      </c>
      <c r="F14" s="965"/>
      <c r="G14" s="966">
        <v>1</v>
      </c>
      <c r="H14" s="966"/>
      <c r="I14" s="22">
        <f t="shared" si="2"/>
        <v>18.95</v>
      </c>
      <c r="J14" s="127">
        <f>ROUND(ROUND(ROUND(I14*$E$6,4)*($I$6),2)*(MAX($I$7,1)),2)</f>
        <v>105425.05</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697">
        <v>5.0999999999999996</v>
      </c>
      <c r="D15" s="697">
        <v>7.08</v>
      </c>
      <c r="E15" s="965">
        <f t="shared" si="0"/>
        <v>12.18</v>
      </c>
      <c r="F15" s="965"/>
      <c r="G15" s="966">
        <v>1</v>
      </c>
      <c r="H15" s="966"/>
      <c r="I15" s="22">
        <f t="shared" si="2"/>
        <v>12.18</v>
      </c>
      <c r="J15" s="127">
        <f t="shared" si="1"/>
        <v>67761.33</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697"/>
      <c r="D16" s="697"/>
      <c r="E16" s="965">
        <f t="shared" si="0"/>
        <v>0</v>
      </c>
      <c r="F16" s="965"/>
      <c r="G16" s="966">
        <v>0.97199999999999998</v>
      </c>
      <c r="H16" s="966"/>
      <c r="I16" s="22">
        <f t="shared" si="2"/>
        <v>0</v>
      </c>
      <c r="J16" s="127">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697"/>
      <c r="D17" s="697"/>
      <c r="E17" s="965">
        <f t="shared" si="0"/>
        <v>0</v>
      </c>
      <c r="F17" s="965"/>
      <c r="G17" s="966">
        <v>0.97199999999999998</v>
      </c>
      <c r="H17" s="966"/>
      <c r="I17" s="22">
        <f t="shared" si="2"/>
        <v>0</v>
      </c>
      <c r="J17" s="127">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697"/>
      <c r="D18" s="697"/>
      <c r="E18" s="965">
        <f t="shared" si="0"/>
        <v>0</v>
      </c>
      <c r="F18" s="965"/>
      <c r="G18" s="966">
        <v>3.609</v>
      </c>
      <c r="H18" s="966"/>
      <c r="I18" s="22">
        <f t="shared" si="2"/>
        <v>0</v>
      </c>
      <c r="J18" s="127">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697"/>
      <c r="D19" s="697"/>
      <c r="E19" s="965">
        <f t="shared" si="0"/>
        <v>0</v>
      </c>
      <c r="F19" s="965"/>
      <c r="G19" s="966">
        <v>3.609</v>
      </c>
      <c r="H19" s="966"/>
      <c r="I19" s="22">
        <f t="shared" si="2"/>
        <v>0</v>
      </c>
      <c r="J19" s="127">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697"/>
      <c r="D20" s="697"/>
      <c r="E20" s="965">
        <f t="shared" si="0"/>
        <v>0</v>
      </c>
      <c r="F20" s="965"/>
      <c r="G20" s="966">
        <v>3.609</v>
      </c>
      <c r="H20" s="966"/>
      <c r="I20" s="22">
        <f t="shared" si="2"/>
        <v>0</v>
      </c>
      <c r="J20" s="127">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697"/>
      <c r="D21" s="697"/>
      <c r="E21" s="965">
        <f t="shared" si="0"/>
        <v>0</v>
      </c>
      <c r="F21" s="965"/>
      <c r="G21" s="966">
        <v>6.0640000000000001</v>
      </c>
      <c r="H21" s="966"/>
      <c r="I21" s="22">
        <f t="shared" si="2"/>
        <v>0</v>
      </c>
      <c r="J21" s="127">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697"/>
      <c r="D22" s="697"/>
      <c r="E22" s="965">
        <f t="shared" si="0"/>
        <v>0</v>
      </c>
      <c r="F22" s="965"/>
      <c r="G22" s="966">
        <v>6.0640000000000001</v>
      </c>
      <c r="H22" s="966"/>
      <c r="I22" s="22">
        <f t="shared" si="2"/>
        <v>0</v>
      </c>
      <c r="J22" s="127">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697"/>
      <c r="D23" s="697"/>
      <c r="E23" s="965">
        <f t="shared" si="0"/>
        <v>0</v>
      </c>
      <c r="F23" s="965"/>
      <c r="G23" s="966">
        <v>6.0640000000000001</v>
      </c>
      <c r="H23" s="966"/>
      <c r="I23" s="22">
        <f t="shared" si="2"/>
        <v>0</v>
      </c>
      <c r="J23" s="127">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697"/>
      <c r="D24" s="697"/>
      <c r="E24" s="965">
        <f t="shared" si="0"/>
        <v>0</v>
      </c>
      <c r="F24" s="965"/>
      <c r="G24" s="966">
        <v>1.165</v>
      </c>
      <c r="H24" s="966"/>
      <c r="I24" s="22">
        <f t="shared" si="2"/>
        <v>0</v>
      </c>
      <c r="J24" s="127">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697">
        <v>2.57</v>
      </c>
      <c r="D25" s="697">
        <v>1.7</v>
      </c>
      <c r="E25" s="965">
        <f t="shared" si="0"/>
        <v>4.2699999999999996</v>
      </c>
      <c r="F25" s="965"/>
      <c r="G25" s="966">
        <v>1.165</v>
      </c>
      <c r="H25" s="966"/>
      <c r="I25" s="22">
        <f t="shared" si="2"/>
        <v>4.9745999999999997</v>
      </c>
      <c r="J25" s="127">
        <f t="shared" si="1"/>
        <v>27675.33</v>
      </c>
      <c r="M25" s="2"/>
      <c r="R25" s="858" t="s">
        <v>33</v>
      </c>
      <c r="S25" s="858"/>
      <c r="T25" s="889">
        <f t="shared" si="3"/>
        <v>0</v>
      </c>
      <c r="U25" s="889"/>
      <c r="V25" s="894">
        <v>1</v>
      </c>
      <c r="W25" s="894"/>
      <c r="X25" s="156">
        <f t="shared" si="4"/>
        <v>0</v>
      </c>
      <c r="Y25" s="266">
        <f t="shared" si="6"/>
        <v>0</v>
      </c>
    </row>
    <row r="26" spans="1:25" x14ac:dyDescent="0.25">
      <c r="A26" s="859" t="s">
        <v>34</v>
      </c>
      <c r="B26" s="859"/>
      <c r="C26" s="116"/>
      <c r="D26" s="116"/>
      <c r="E26" s="965">
        <f t="shared" si="0"/>
        <v>0</v>
      </c>
      <c r="F26" s="965"/>
      <c r="G26" s="966">
        <v>1.165</v>
      </c>
      <c r="H26" s="966"/>
      <c r="I26" s="22">
        <f t="shared" si="2"/>
        <v>0</v>
      </c>
      <c r="J26" s="127">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118">
        <v>0</v>
      </c>
      <c r="D27" s="118"/>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698">
        <f>SUM(C12:C27)</f>
        <v>18.2</v>
      </c>
      <c r="D28" s="126">
        <f>SUM(D12:D27)</f>
        <v>17.2</v>
      </c>
      <c r="E28" s="964">
        <f>SUM(E12:E27)</f>
        <v>35.4</v>
      </c>
      <c r="F28" s="964"/>
      <c r="G28" s="959"/>
      <c r="H28" s="959"/>
      <c r="I28" s="23">
        <f>SUM(I12:I27)</f>
        <v>36.104599999999998</v>
      </c>
      <c r="J28" s="127">
        <f>SUM(J12:J27)</f>
        <v>200861.71000000002</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101"/>
      <c r="D30" s="101"/>
      <c r="E30" s="855" t="s">
        <v>39</v>
      </c>
      <c r="F30" s="856"/>
      <c r="G30" s="856"/>
      <c r="H30" s="856"/>
      <c r="I30" s="856"/>
      <c r="J30" s="18" t="s">
        <v>40</v>
      </c>
      <c r="L30" s="25"/>
      <c r="M30" s="25"/>
      <c r="R30" s="160" t="s">
        <v>38</v>
      </c>
      <c r="S30" s="160"/>
      <c r="T30" s="852" t="s">
        <v>162</v>
      </c>
      <c r="U30" s="853"/>
      <c r="V30" s="853"/>
      <c r="W30" s="853"/>
      <c r="X30" s="853"/>
      <c r="Y30" s="153" t="s">
        <v>40</v>
      </c>
    </row>
    <row r="31" spans="1:25" ht="20.25" hidden="1" customHeight="1" x14ac:dyDescent="0.25">
      <c r="A31" s="837" t="s">
        <v>41</v>
      </c>
      <c r="B31" s="837"/>
      <c r="C31" s="69"/>
      <c r="D31" s="69"/>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v>0</v>
      </c>
      <c r="W32" s="907" t="s">
        <v>43</v>
      </c>
      <c r="X32" s="907"/>
      <c r="Y32" s="163">
        <f>SUM(Y31:Y31)</f>
        <v>0</v>
      </c>
    </row>
    <row r="33" spans="1:25" ht="20.25" hidden="1" customHeight="1" thickBot="1" x14ac:dyDescent="0.3">
      <c r="A33" s="910" t="s">
        <v>44</v>
      </c>
      <c r="B33" s="910"/>
      <c r="C33" s="910"/>
      <c r="D33" s="910"/>
      <c r="E33" s="910"/>
      <c r="F33" s="910"/>
      <c r="G33" s="31">
        <f>G32+I28</f>
        <v>36.104599999999998</v>
      </c>
      <c r="H33" s="959" t="s">
        <v>45</v>
      </c>
      <c r="I33" s="959"/>
      <c r="J33" s="32">
        <f>SUM(J32,J28)</f>
        <v>200861.71000000002</v>
      </c>
      <c r="M33" s="2"/>
      <c r="R33" s="909" t="s">
        <v>44</v>
      </c>
      <c r="S33" s="909"/>
      <c r="T33" s="909"/>
      <c r="U33" s="909"/>
      <c r="V33" s="164">
        <f>V32+X28</f>
        <v>0</v>
      </c>
      <c r="W33" s="907" t="s">
        <v>45</v>
      </c>
      <c r="X33" s="907"/>
      <c r="Y33" s="165">
        <f>SUM(Y32,Y28)</f>
        <v>0</v>
      </c>
    </row>
    <row r="34" spans="1:25" ht="20.25" hidden="1"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945" t="s">
        <v>46</v>
      </c>
      <c r="B35" s="945"/>
      <c r="C35" s="945"/>
      <c r="D35" s="945"/>
      <c r="E35" s="945"/>
      <c r="F35" s="945"/>
      <c r="G35" s="36"/>
      <c r="J35" s="267"/>
      <c r="M35" s="2"/>
      <c r="R35" s="898" t="s">
        <v>46</v>
      </c>
      <c r="S35" s="860"/>
      <c r="T35" s="860"/>
      <c r="U35" s="860"/>
      <c r="V35" s="169"/>
      <c r="W35" s="170"/>
      <c r="X35" s="170"/>
      <c r="Y35" s="268"/>
    </row>
    <row r="36" spans="1:25" ht="20.25" customHeight="1" x14ac:dyDescent="0.25">
      <c r="A36" s="859" t="s">
        <v>47</v>
      </c>
      <c r="B36" s="859"/>
      <c r="C36" s="859"/>
      <c r="D36" s="859"/>
      <c r="E36" s="859"/>
      <c r="F36" s="36" t="s">
        <v>48</v>
      </c>
      <c r="G36" s="132">
        <v>204869.52</v>
      </c>
      <c r="H36" s="37" t="s">
        <v>49</v>
      </c>
      <c r="I36" s="38">
        <v>6.6699999999999995E-2</v>
      </c>
      <c r="J36" s="131">
        <f>ROUND(G36*I36,2)</f>
        <v>13664.8</v>
      </c>
      <c r="K36" s="39"/>
      <c r="L36" s="33"/>
      <c r="M36" s="33"/>
      <c r="N36" s="33"/>
      <c r="O36" s="31"/>
      <c r="P36" s="34"/>
      <c r="Q36" s="34"/>
      <c r="R36" s="858" t="s">
        <v>47</v>
      </c>
      <c r="S36" s="858"/>
      <c r="T36" s="858"/>
      <c r="U36" s="169"/>
      <c r="V36" s="172">
        <f>Y28</f>
        <v>0</v>
      </c>
      <c r="W36" s="173" t="s">
        <v>49</v>
      </c>
      <c r="X36" s="174">
        <v>6.6699999999999995E-2</v>
      </c>
      <c r="Y36" s="266">
        <f>ROUND(V36*X36,2)</f>
        <v>0</v>
      </c>
    </row>
    <row r="37" spans="1:25" ht="20.25" customHeight="1" x14ac:dyDescent="0.25">
      <c r="A37" s="859" t="s">
        <v>50</v>
      </c>
      <c r="B37" s="859"/>
      <c r="C37" s="859"/>
      <c r="D37" s="859"/>
      <c r="E37" s="859"/>
      <c r="F37" s="36" t="s">
        <v>48</v>
      </c>
      <c r="G37" s="132">
        <v>204869.52</v>
      </c>
      <c r="H37" s="37" t="s">
        <v>49</v>
      </c>
      <c r="I37" s="38">
        <v>5.4000000000000003E-3</v>
      </c>
      <c r="J37" s="131">
        <f>ROUND(G37*I37,2)</f>
        <v>1106.3</v>
      </c>
      <c r="K37" s="39"/>
      <c r="L37" s="33"/>
      <c r="M37" s="33"/>
      <c r="N37" s="33"/>
      <c r="O37" s="31"/>
      <c r="P37" s="34"/>
      <c r="Q37" s="34"/>
      <c r="R37" s="858" t="s">
        <v>50</v>
      </c>
      <c r="S37" s="858"/>
      <c r="T37" s="858"/>
      <c r="U37" s="169"/>
      <c r="V37" s="172">
        <f>Y28</f>
        <v>0</v>
      </c>
      <c r="W37" s="173" t="s">
        <v>49</v>
      </c>
      <c r="X37" s="174">
        <v>5.4000000000000003E-3</v>
      </c>
      <c r="Y37" s="266">
        <f>ROUND(V37*X37,2)</f>
        <v>0</v>
      </c>
    </row>
    <row r="38" spans="1:25" ht="20.25" customHeight="1" x14ac:dyDescent="0.25">
      <c r="A38" s="896" t="s">
        <v>51</v>
      </c>
      <c r="B38" s="896"/>
      <c r="C38" s="896"/>
      <c r="D38" s="896"/>
      <c r="E38" s="896"/>
      <c r="F38" s="36" t="s">
        <v>52</v>
      </c>
      <c r="G38" s="40"/>
      <c r="H38" s="37"/>
      <c r="I38" s="41"/>
      <c r="J38" s="131">
        <f>SUM(J36:J37)</f>
        <v>14771.099999999999</v>
      </c>
      <c r="K38" s="39"/>
      <c r="L38" s="33"/>
      <c r="M38" s="33"/>
      <c r="N38" s="33"/>
      <c r="O38" s="31"/>
      <c r="P38" s="34"/>
      <c r="Q38" s="34"/>
      <c r="R38" s="860" t="s">
        <v>51</v>
      </c>
      <c r="S38" s="860"/>
      <c r="T38" s="860"/>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955" t="s">
        <v>53</v>
      </c>
      <c r="B40" s="955"/>
      <c r="C40" s="117" t="s">
        <v>159</v>
      </c>
      <c r="D40" s="117" t="s">
        <v>160</v>
      </c>
      <c r="E40" s="956" t="s">
        <v>158</v>
      </c>
      <c r="F40" s="956"/>
      <c r="G40" s="44" t="s">
        <v>55</v>
      </c>
      <c r="H40" s="45" t="s">
        <v>56</v>
      </c>
      <c r="I40" s="700" t="s">
        <v>57</v>
      </c>
      <c r="J40" s="44"/>
      <c r="K40" s="39"/>
      <c r="L40" s="33"/>
      <c r="M40" s="33"/>
      <c r="N40" s="33"/>
      <c r="O40" s="31"/>
      <c r="P40" s="34"/>
      <c r="Q40" s="34"/>
      <c r="R40" s="899" t="s">
        <v>53</v>
      </c>
      <c r="S40" s="899"/>
      <c r="T40" s="900" t="s">
        <v>54</v>
      </c>
      <c r="U40" s="900"/>
      <c r="V40" s="179" t="s">
        <v>55</v>
      </c>
      <c r="W40" s="180" t="s">
        <v>56</v>
      </c>
      <c r="X40" s="181" t="s">
        <v>57</v>
      </c>
      <c r="Y40" s="179"/>
    </row>
    <row r="41" spans="1:25" ht="17.25" customHeight="1" x14ac:dyDescent="0.25">
      <c r="A41" s="957" t="s">
        <v>58</v>
      </c>
      <c r="B41" s="957"/>
      <c r="C41" s="119"/>
      <c r="D41" s="119"/>
      <c r="E41" s="952">
        <f t="shared" ref="E41:E49" si="7">IF($D$50=0,C41*2,C41+D41)</f>
        <v>0</v>
      </c>
      <c r="F41" s="952"/>
      <c r="G41" s="37" t="s">
        <v>59</v>
      </c>
      <c r="H41" s="37">
        <v>251</v>
      </c>
      <c r="I41" s="136">
        <f>INDEX('[1]111-112-113 ADDITIONAL FUND'!D$1:D$65536,MATCH($A$1,'[1]111-112-113 ADDITIONAL FUND'!A$1:A$65536))</f>
        <v>1047</v>
      </c>
      <c r="J41" s="46">
        <f t="shared" ref="J41:J49" si="8">ROUND(E41*I41,2)</f>
        <v>0</v>
      </c>
      <c r="L41" s="3"/>
      <c r="M41" s="2"/>
      <c r="Q41" s="4"/>
      <c r="R41" s="901" t="s">
        <v>163</v>
      </c>
      <c r="S41" s="901"/>
      <c r="T41" s="865"/>
      <c r="U41" s="865"/>
      <c r="V41" s="173" t="s">
        <v>59</v>
      </c>
      <c r="W41" s="173">
        <v>251</v>
      </c>
      <c r="X41" s="134">
        <f t="shared" ref="X41:X49" si="9">I41</f>
        <v>1047</v>
      </c>
      <c r="Y41" s="269">
        <f>ROUND(T41*X41,2)</f>
        <v>0</v>
      </c>
    </row>
    <row r="42" spans="1:25" x14ac:dyDescent="0.25">
      <c r="A42" s="958"/>
      <c r="B42" s="958"/>
      <c r="C42" s="120"/>
      <c r="D42" s="120"/>
      <c r="E42" s="952">
        <f t="shared" si="7"/>
        <v>0</v>
      </c>
      <c r="F42" s="952"/>
      <c r="G42" s="37" t="s">
        <v>59</v>
      </c>
      <c r="H42" s="37">
        <v>252</v>
      </c>
      <c r="I42" s="136">
        <f>INDEX('[1]111-112-113 ADDITIONAL FUND'!E$1:E$65536,MATCH($A$1,'[1]111-112-113 ADDITIONAL FUND'!A$1:A$65536))</f>
        <v>3380</v>
      </c>
      <c r="J42" s="46">
        <f t="shared" si="8"/>
        <v>0</v>
      </c>
      <c r="M42" s="2"/>
      <c r="R42" s="901"/>
      <c r="S42" s="901"/>
      <c r="T42" s="902"/>
      <c r="U42" s="902"/>
      <c r="V42" s="173" t="s">
        <v>59</v>
      </c>
      <c r="W42" s="173">
        <v>252</v>
      </c>
      <c r="X42" s="134">
        <f t="shared" si="9"/>
        <v>3380</v>
      </c>
      <c r="Y42" s="269">
        <f t="shared" ref="Y42:Y49" si="10">ROUND(T42*X42,2)</f>
        <v>0</v>
      </c>
    </row>
    <row r="43" spans="1:25" x14ac:dyDescent="0.25">
      <c r="A43" s="958"/>
      <c r="B43" s="958"/>
      <c r="C43" s="120"/>
      <c r="D43" s="120"/>
      <c r="E43" s="952">
        <f t="shared" si="7"/>
        <v>0</v>
      </c>
      <c r="F43" s="952"/>
      <c r="G43" s="37" t="s">
        <v>59</v>
      </c>
      <c r="H43" s="37">
        <v>253</v>
      </c>
      <c r="I43" s="136">
        <f>INDEX('[1]111-112-113 ADDITIONAL FUND'!F$1:F$65536,MATCH($A$1,'[1]111-112-113 ADDITIONAL FUND'!A$1:A$65536))</f>
        <v>6896</v>
      </c>
      <c r="J43" s="46">
        <f t="shared" si="8"/>
        <v>0</v>
      </c>
      <c r="M43" s="2"/>
      <c r="R43" s="901"/>
      <c r="S43" s="901"/>
      <c r="T43" s="903"/>
      <c r="U43" s="903"/>
      <c r="V43" s="173" t="s">
        <v>59</v>
      </c>
      <c r="W43" s="173">
        <v>253</v>
      </c>
      <c r="X43" s="134">
        <f t="shared" si="9"/>
        <v>6896</v>
      </c>
      <c r="Y43" s="269">
        <f t="shared" si="10"/>
        <v>0</v>
      </c>
    </row>
    <row r="44" spans="1:25" ht="20.25" customHeight="1" x14ac:dyDescent="0.25">
      <c r="A44" s="958"/>
      <c r="B44" s="958"/>
      <c r="C44" s="133">
        <v>5.0999999999999996</v>
      </c>
      <c r="D44" s="133">
        <v>7.08</v>
      </c>
      <c r="E44" s="952">
        <f t="shared" si="7"/>
        <v>12.18</v>
      </c>
      <c r="F44" s="952"/>
      <c r="G44" s="47" t="s">
        <v>60</v>
      </c>
      <c r="H44" s="37">
        <v>251</v>
      </c>
      <c r="I44" s="136">
        <f>INDEX('[1]111-112-113 ADDITIONAL FUND'!G$1:G$65536,MATCH($A$1,'[1]111-112-113 ADDITIONAL FUND'!A$1:A$65536))</f>
        <v>1173</v>
      </c>
      <c r="J44" s="137">
        <f t="shared" si="8"/>
        <v>14287.14</v>
      </c>
      <c r="L44" s="3"/>
      <c r="M44" s="2"/>
      <c r="Q44" s="4"/>
      <c r="R44" s="901"/>
      <c r="S44" s="901"/>
      <c r="T44" s="903"/>
      <c r="U44" s="903"/>
      <c r="V44" s="182" t="s">
        <v>60</v>
      </c>
      <c r="W44" s="173">
        <v>251</v>
      </c>
      <c r="X44" s="134">
        <f t="shared" si="9"/>
        <v>1173</v>
      </c>
      <c r="Y44" s="269">
        <f t="shared" si="10"/>
        <v>0</v>
      </c>
    </row>
    <row r="45" spans="1:25" x14ac:dyDescent="0.25">
      <c r="A45" s="958"/>
      <c r="B45" s="958"/>
      <c r="C45" s="120">
        <v>0</v>
      </c>
      <c r="D45" s="120"/>
      <c r="E45" s="952">
        <f t="shared" si="7"/>
        <v>0</v>
      </c>
      <c r="F45" s="952"/>
      <c r="G45" s="47" t="s">
        <v>60</v>
      </c>
      <c r="H45" s="37">
        <v>252</v>
      </c>
      <c r="I45" s="136">
        <f>INDEX('[1]111-112-113 ADDITIONAL FUND'!H$1:H$65536,MATCH($A$1,'[1]111-112-113 ADDITIONAL FUND'!A$1:A$65536))</f>
        <v>3506</v>
      </c>
      <c r="J45" s="46">
        <f t="shared" si="8"/>
        <v>0</v>
      </c>
      <c r="M45" s="2"/>
      <c r="R45" s="901"/>
      <c r="S45" s="901"/>
      <c r="T45" s="903"/>
      <c r="U45" s="903"/>
      <c r="V45" s="182" t="s">
        <v>60</v>
      </c>
      <c r="W45" s="173">
        <v>252</v>
      </c>
      <c r="X45" s="134">
        <f t="shared" si="9"/>
        <v>3506</v>
      </c>
      <c r="Y45" s="269">
        <f t="shared" si="10"/>
        <v>0</v>
      </c>
    </row>
    <row r="46" spans="1:25" x14ac:dyDescent="0.25">
      <c r="A46" s="958"/>
      <c r="B46" s="958"/>
      <c r="C46" s="120">
        <v>0</v>
      </c>
      <c r="D46" s="120"/>
      <c r="E46" s="952">
        <f t="shared" si="7"/>
        <v>0</v>
      </c>
      <c r="F46" s="952"/>
      <c r="G46" s="47" t="s">
        <v>60</v>
      </c>
      <c r="H46" s="37">
        <v>253</v>
      </c>
      <c r="I46" s="136">
        <f>INDEX('[1]111-112-113 ADDITIONAL FUND'!I$1:I$65536,MATCH($A$1,'[1]111-112-113 ADDITIONAL FUND'!A$1:A$65536))</f>
        <v>7023</v>
      </c>
      <c r="J46" s="46">
        <f t="shared" si="8"/>
        <v>0</v>
      </c>
      <c r="M46" s="2"/>
      <c r="R46" s="901"/>
      <c r="S46" s="901"/>
      <c r="T46" s="903"/>
      <c r="U46" s="903"/>
      <c r="V46" s="182" t="s">
        <v>60</v>
      </c>
      <c r="W46" s="173">
        <v>253</v>
      </c>
      <c r="X46" s="134">
        <f t="shared" si="9"/>
        <v>7023</v>
      </c>
      <c r="Y46" s="269">
        <f t="shared" si="10"/>
        <v>0</v>
      </c>
    </row>
    <row r="47" spans="1:25" ht="16.5" customHeight="1" x14ac:dyDescent="0.25">
      <c r="A47" s="958"/>
      <c r="B47" s="958"/>
      <c r="C47" s="120">
        <v>0</v>
      </c>
      <c r="D47" s="120">
        <v>0</v>
      </c>
      <c r="E47" s="952">
        <f t="shared" si="7"/>
        <v>0</v>
      </c>
      <c r="F47" s="952"/>
      <c r="G47" s="47" t="s">
        <v>61</v>
      </c>
      <c r="H47" s="37">
        <v>251</v>
      </c>
      <c r="I47" s="136">
        <f>INDEX('[1]111-112-113 ADDITIONAL FUND'!J$1:J$65536,MATCH($A$1,'[1]111-112-113 ADDITIONAL FUND'!A$1:A$65536))</f>
        <v>835</v>
      </c>
      <c r="J47" s="46">
        <f t="shared" si="8"/>
        <v>0</v>
      </c>
      <c r="M47" s="2"/>
      <c r="R47" s="901"/>
      <c r="S47" s="901"/>
      <c r="T47" s="903"/>
      <c r="U47" s="903"/>
      <c r="V47" s="182" t="s">
        <v>61</v>
      </c>
      <c r="W47" s="173">
        <v>251</v>
      </c>
      <c r="X47" s="134">
        <f t="shared" si="9"/>
        <v>835</v>
      </c>
      <c r="Y47" s="269">
        <f t="shared" si="10"/>
        <v>0</v>
      </c>
    </row>
    <row r="48" spans="1:25" ht="15.75" customHeight="1" x14ac:dyDescent="0.25">
      <c r="A48" s="958"/>
      <c r="B48" s="958"/>
      <c r="C48" s="120">
        <v>0</v>
      </c>
      <c r="D48" s="120">
        <v>0</v>
      </c>
      <c r="E48" s="952">
        <f t="shared" si="7"/>
        <v>0</v>
      </c>
      <c r="F48" s="952"/>
      <c r="G48" s="47" t="s">
        <v>61</v>
      </c>
      <c r="H48" s="37">
        <v>252</v>
      </c>
      <c r="I48" s="136">
        <f>INDEX('[1]111-112-113 ADDITIONAL FUND'!K$1:K$65536,MATCH($A$1,'[1]111-112-113 ADDITIONAL FUND'!A$1:A$65536))</f>
        <v>3168</v>
      </c>
      <c r="J48" s="46">
        <f t="shared" si="8"/>
        <v>0</v>
      </c>
      <c r="M48" s="2"/>
      <c r="R48" s="901"/>
      <c r="S48" s="901"/>
      <c r="T48" s="903"/>
      <c r="U48" s="903"/>
      <c r="V48" s="182" t="s">
        <v>61</v>
      </c>
      <c r="W48" s="173">
        <v>252</v>
      </c>
      <c r="X48" s="134">
        <f t="shared" si="9"/>
        <v>3168</v>
      </c>
      <c r="Y48" s="269">
        <f t="shared" si="10"/>
        <v>0</v>
      </c>
    </row>
    <row r="49" spans="1:25" ht="15.75" customHeight="1" thickBot="1" x14ac:dyDescent="0.3">
      <c r="A49" s="958"/>
      <c r="B49" s="958"/>
      <c r="C49" s="120">
        <v>0</v>
      </c>
      <c r="D49" s="120">
        <v>0</v>
      </c>
      <c r="E49" s="953">
        <f t="shared" si="7"/>
        <v>0</v>
      </c>
      <c r="F49" s="953"/>
      <c r="G49" s="47" t="s">
        <v>61</v>
      </c>
      <c r="H49" s="37">
        <v>253</v>
      </c>
      <c r="I49" s="136">
        <f>INDEX('[1]111-112-113 ADDITIONAL FUND'!L$1:L$65536,MATCH($A$1,'[1]111-112-113 ADDITIONAL FUND'!A$1:A$65536))</f>
        <v>6685</v>
      </c>
      <c r="J49" s="46">
        <f t="shared" si="8"/>
        <v>0</v>
      </c>
      <c r="M49" s="2"/>
      <c r="R49" s="901"/>
      <c r="S49" s="901"/>
      <c r="T49" s="911"/>
      <c r="U49" s="911"/>
      <c r="V49" s="182" t="s">
        <v>61</v>
      </c>
      <c r="W49" s="173">
        <v>253</v>
      </c>
      <c r="X49" s="134">
        <f t="shared" si="9"/>
        <v>6685</v>
      </c>
      <c r="Y49" s="269">
        <f t="shared" si="10"/>
        <v>0</v>
      </c>
    </row>
    <row r="50" spans="1:25" ht="15.75" customHeight="1" thickBot="1" x14ac:dyDescent="0.3">
      <c r="A50" s="910" t="s">
        <v>62</v>
      </c>
      <c r="B50" s="910"/>
      <c r="C50" s="585">
        <f>SUM(C41:C49)</f>
        <v>5.0999999999999996</v>
      </c>
      <c r="D50" s="699">
        <f>SUM(D41:D49)</f>
        <v>7.08</v>
      </c>
      <c r="E50" s="954">
        <f>SUM(E41:E49)</f>
        <v>12.18</v>
      </c>
      <c r="F50" s="954"/>
      <c r="G50" s="910" t="s">
        <v>63</v>
      </c>
      <c r="H50" s="910"/>
      <c r="I50" s="910"/>
      <c r="J50" s="276">
        <f>SUM(J41:J49)</f>
        <v>14287.14</v>
      </c>
      <c r="M50" s="2"/>
      <c r="R50" s="909" t="s">
        <v>62</v>
      </c>
      <c r="S50" s="909"/>
      <c r="T50" s="912">
        <f>SUM(T42:T49)</f>
        <v>0</v>
      </c>
      <c r="U50" s="912"/>
      <c r="V50" s="909" t="s">
        <v>63</v>
      </c>
      <c r="W50" s="909"/>
      <c r="X50" s="909"/>
      <c r="Y50" s="270">
        <f>SUM(Y41:Y49)</f>
        <v>0</v>
      </c>
    </row>
    <row r="51" spans="1:25" ht="15.75" customHeight="1" x14ac:dyDescent="0.25">
      <c r="A51" s="33"/>
      <c r="B51" s="33"/>
      <c r="C51" s="33"/>
      <c r="D51" s="33"/>
      <c r="E51" s="34"/>
      <c r="F51" s="34"/>
      <c r="G51" s="33"/>
      <c r="H51" s="33"/>
      <c r="I51" s="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48">
        <f>E28</f>
        <v>35.4</v>
      </c>
      <c r="D53" s="49" t="s">
        <v>66</v>
      </c>
      <c r="G53" s="967" t="s">
        <v>67</v>
      </c>
      <c r="H53" s="967"/>
      <c r="I53" s="702">
        <f>INDEX('[1]Detail 2025-26 FEFP Second'!E$1:E$65536,MATCH(A1,'[1]Detail 2025-26 FEFP Second'!A$1:A$65536))</f>
        <v>215320.92</v>
      </c>
      <c r="J53" s="701"/>
      <c r="M53" s="2"/>
      <c r="R53" s="187"/>
      <c r="S53" s="188"/>
      <c r="T53" s="170"/>
      <c r="U53" s="170"/>
      <c r="V53" s="170"/>
      <c r="W53" s="189" t="s">
        <v>68</v>
      </c>
      <c r="X53" s="918">
        <f>ROUND(T52/X52,6)</f>
        <v>0</v>
      </c>
      <c r="Y53" s="918"/>
    </row>
    <row r="54" spans="1:25" ht="22.5" customHeight="1" x14ac:dyDescent="0.25">
      <c r="A54" s="51"/>
      <c r="B54" s="52"/>
      <c r="C54" s="52"/>
      <c r="D54" s="52"/>
      <c r="H54" s="53" t="s">
        <v>68</v>
      </c>
      <c r="I54" s="943">
        <f>IFERROR(ROUND(C53/I53,6),0)</f>
        <v>1.64E-4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Y33</f>
        <v>0</v>
      </c>
      <c r="U55" s="184" t="s">
        <v>66</v>
      </c>
      <c r="V55" s="185"/>
      <c r="W55" s="186" t="s">
        <v>71</v>
      </c>
      <c r="X55" s="917">
        <f>I56</f>
        <v>229051.25000000003</v>
      </c>
      <c r="Y55" s="917"/>
    </row>
    <row r="56" spans="1:25" ht="16.5" customHeight="1" x14ac:dyDescent="0.25">
      <c r="A56" s="897" t="s">
        <v>70</v>
      </c>
      <c r="B56" s="897"/>
      <c r="C56" s="48">
        <f>G33</f>
        <v>36.104599999999998</v>
      </c>
      <c r="D56" s="49" t="s">
        <v>66</v>
      </c>
      <c r="G56" s="967" t="s">
        <v>71</v>
      </c>
      <c r="H56" s="967"/>
      <c r="I56" s="702">
        <f>INDEX('[1]Detail 2025-26 FEFP Second'!F$1:F$65536,MATCH(A1,'[1]Detail 2025-26 FEFP Second'!A$1:A$65536))</f>
        <v>229051.25000000003</v>
      </c>
      <c r="J56" s="701"/>
      <c r="M56" s="2"/>
      <c r="R56" s="187"/>
      <c r="S56" s="170"/>
      <c r="T56" s="170"/>
      <c r="U56" s="170"/>
      <c r="V56" s="170"/>
      <c r="W56" s="189" t="s">
        <v>68</v>
      </c>
      <c r="X56" s="918">
        <f>ROUND(T55/X55,6)</f>
        <v>0</v>
      </c>
      <c r="Y56" s="918"/>
    </row>
    <row r="57" spans="1:25" ht="18.75" customHeight="1" x14ac:dyDescent="0.25">
      <c r="A57" s="51"/>
      <c r="H57" s="53" t="s">
        <v>68</v>
      </c>
      <c r="I57" s="943">
        <f>IFERROR(ROUND(C56/I56,6),0)</f>
        <v>1.5799999999999999E-4</v>
      </c>
      <c r="J57" s="943"/>
      <c r="M57" s="2"/>
      <c r="P57" s="42"/>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48">
        <f>E28</f>
        <v>35.4</v>
      </c>
      <c r="D59" s="49" t="s">
        <v>66</v>
      </c>
      <c r="F59" s="967" t="s">
        <v>74</v>
      </c>
      <c r="G59" s="967"/>
      <c r="H59" s="967"/>
      <c r="I59" s="702">
        <f>INDEX('[1]Detail 2025-26 FEFP Second'!H$1:H$65536,MATCH(A1,'[1]Detail 2025-26 FEFP Second'!A$1:A$65536))</f>
        <v>186156.17</v>
      </c>
      <c r="J59" s="701"/>
      <c r="M59" s="2"/>
      <c r="R59" s="187"/>
      <c r="S59" s="170"/>
      <c r="T59" s="170"/>
      <c r="U59" s="170"/>
      <c r="V59" s="170"/>
      <c r="W59" s="189" t="s">
        <v>68</v>
      </c>
      <c r="X59" s="918">
        <f>ROUND(T58/X58,6)</f>
        <v>0</v>
      </c>
      <c r="Y59" s="918"/>
    </row>
    <row r="60" spans="1:25" ht="18" customHeight="1" x14ac:dyDescent="0.25">
      <c r="A60" s="51"/>
      <c r="H60" s="53" t="s">
        <v>68</v>
      </c>
      <c r="I60" s="943">
        <f>IFERROR(ROUND(C59/I59,6),0)</f>
        <v>1.9000000000000001E-4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x14ac:dyDescent="0.25">
      <c r="A62" s="897" t="s">
        <v>73</v>
      </c>
      <c r="B62" s="897"/>
      <c r="C62" s="48">
        <f>E28</f>
        <v>35.4</v>
      </c>
      <c r="D62" s="49" t="s">
        <v>66</v>
      </c>
      <c r="F62" s="967" t="s">
        <v>76</v>
      </c>
      <c r="G62" s="967"/>
      <c r="H62" s="967"/>
      <c r="I62" s="702">
        <f>INDEX('[1]Detail 2025-26 FEFP Second'!G$1:G$65536,MATCH(A1,'[1]Detail 2025-26 FEFP Second'!A$1:A$65536))</f>
        <v>215016.58000000002</v>
      </c>
      <c r="J62" s="701"/>
      <c r="M62" s="2"/>
      <c r="R62" s="187"/>
      <c r="S62" s="170"/>
      <c r="T62" s="170"/>
      <c r="U62" s="170"/>
      <c r="V62" s="170"/>
      <c r="W62" s="189" t="s">
        <v>68</v>
      </c>
      <c r="X62" s="918">
        <f>ROUND(T61/X61,6)</f>
        <v>0</v>
      </c>
      <c r="Y62" s="918"/>
    </row>
    <row r="63" spans="1:25" ht="19.5" customHeight="1" x14ac:dyDescent="0.25">
      <c r="A63" s="51"/>
      <c r="H63" s="53" t="s">
        <v>68</v>
      </c>
      <c r="I63" s="943">
        <f>IFERROR(ROUND(C62/I62,6),0)</f>
        <v>1.65E-4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x14ac:dyDescent="0.25">
      <c r="A65" s="897" t="s">
        <v>73</v>
      </c>
      <c r="B65" s="897"/>
      <c r="C65" s="48">
        <f>E28</f>
        <v>35.4</v>
      </c>
      <c r="D65" s="968" t="s">
        <v>551</v>
      </c>
      <c r="E65" s="968"/>
      <c r="F65" s="968"/>
      <c r="G65" s="968"/>
      <c r="H65" s="968"/>
      <c r="I65" s="702">
        <f>INDEX('[1]Detail 2025-26 FEFP Second'!I$1:I$65536,MATCH(A1,'[1]Detail 2025-26 FEFP Second'!A$1:A$65536))</f>
        <v>185851.83000000002</v>
      </c>
      <c r="J65" s="701"/>
      <c r="M65" s="2"/>
      <c r="R65" s="190"/>
      <c r="S65" s="170"/>
      <c r="T65" s="170"/>
      <c r="U65" s="170"/>
      <c r="V65" s="170"/>
      <c r="W65" s="189" t="s">
        <v>68</v>
      </c>
      <c r="X65" s="918">
        <f>ROUND(T64/X64,6)</f>
        <v>0</v>
      </c>
      <c r="Y65" s="918"/>
    </row>
    <row r="66" spans="1:26" ht="19.5" customHeight="1" x14ac:dyDescent="0.25">
      <c r="A66" s="51"/>
      <c r="H66" s="53" t="s">
        <v>68</v>
      </c>
      <c r="I66" s="943">
        <f>IFERROR(ROUND(C65/I65,6),0)</f>
        <v>1.9000000000000001E-4</v>
      </c>
      <c r="J66" s="943"/>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169"/>
      <c r="V67" s="193">
        <f>G68</f>
        <v>47290747</v>
      </c>
      <c r="W67" s="173" t="s">
        <v>81</v>
      </c>
      <c r="X67" s="176">
        <f>X62</f>
        <v>0</v>
      </c>
      <c r="Y67" s="271">
        <f>ROUND(V67*X67,2)</f>
        <v>0</v>
      </c>
    </row>
    <row r="68" spans="1:26" ht="30.75" customHeight="1" x14ac:dyDescent="0.25">
      <c r="A68" s="944" t="s">
        <v>79</v>
      </c>
      <c r="B68" s="944"/>
      <c r="C68" s="944"/>
      <c r="D68" s="944"/>
      <c r="E68" s="944"/>
      <c r="F68" s="36" t="s">
        <v>80</v>
      </c>
      <c r="G68" s="277">
        <f>INDEX('[1]Detail 2025-26 FEFP Second'!N$1:N$65536,MATCH(A1,'[1]Detail 2025-26 FEFP Second'!A$1:A$65536))</f>
        <v>47290747</v>
      </c>
      <c r="H68" s="37" t="s">
        <v>81</v>
      </c>
      <c r="I68" s="41">
        <f>I63</f>
        <v>1.65E-4</v>
      </c>
      <c r="J68" s="138">
        <f>ROUND(G68*I68,2)</f>
        <v>7802.97</v>
      </c>
      <c r="M68" s="2"/>
      <c r="R68" s="898" t="s">
        <v>82</v>
      </c>
      <c r="S68" s="898"/>
      <c r="T68" s="177"/>
      <c r="U68" s="169"/>
      <c r="V68" s="194"/>
      <c r="W68" s="173"/>
      <c r="X68" s="176"/>
      <c r="Y68" s="271"/>
    </row>
    <row r="69" spans="1:26" ht="30.75" customHeight="1" x14ac:dyDescent="0.25">
      <c r="A69" s="945" t="s">
        <v>82</v>
      </c>
      <c r="B69" s="945"/>
      <c r="C69" s="107"/>
      <c r="D69" s="107"/>
      <c r="E69" s="42"/>
      <c r="F69" s="36"/>
      <c r="G69" s="63"/>
      <c r="H69" s="37"/>
      <c r="I69" s="41"/>
      <c r="J69" s="62"/>
      <c r="M69" s="2"/>
      <c r="R69" s="921" t="s">
        <v>166</v>
      </c>
      <c r="S69" s="915"/>
      <c r="T69" s="915"/>
      <c r="U69" s="169"/>
      <c r="V69" s="195">
        <f>G70</f>
        <v>0</v>
      </c>
      <c r="W69" s="173" t="s">
        <v>81</v>
      </c>
      <c r="X69" s="176">
        <f>X53</f>
        <v>0</v>
      </c>
      <c r="Y69" s="266">
        <f t="shared" ref="Y69:Y71" si="11">ROUND(V69*X69,2)</f>
        <v>0</v>
      </c>
    </row>
    <row r="70" spans="1:26" ht="17.25" customHeight="1" x14ac:dyDescent="0.25">
      <c r="A70" s="946" t="s">
        <v>83</v>
      </c>
      <c r="B70" s="946"/>
      <c r="C70" s="946"/>
      <c r="D70" s="946"/>
      <c r="E70" s="946"/>
      <c r="F70" s="36" t="s">
        <v>84</v>
      </c>
      <c r="G70" s="277">
        <f>INDEX('[1]Detail 2025-26 FEFP Second'!L$1:L$65536,MATCH(A1,'[1]Detail 2025-26 FEFP Second'!A$1:A$65536))</f>
        <v>0</v>
      </c>
      <c r="H70" s="37" t="s">
        <v>81</v>
      </c>
      <c r="I70" s="41">
        <f>I54</f>
        <v>1.64E-4</v>
      </c>
      <c r="J70" s="138">
        <f>ROUND(G70*I70,2)</f>
        <v>0</v>
      </c>
      <c r="M70" s="2"/>
      <c r="R70" s="860" t="s">
        <v>167</v>
      </c>
      <c r="S70" s="860"/>
      <c r="T70" s="860"/>
      <c r="U70" s="169"/>
      <c r="V70" s="193">
        <f>G71</f>
        <v>19167881</v>
      </c>
      <c r="W70" s="173" t="s">
        <v>81</v>
      </c>
      <c r="X70" s="176">
        <f>X65</f>
        <v>0</v>
      </c>
      <c r="Y70" s="266">
        <f t="shared" si="11"/>
        <v>0</v>
      </c>
    </row>
    <row r="71" spans="1:26" ht="19.5" customHeight="1" x14ac:dyDescent="0.25">
      <c r="A71" s="896" t="s">
        <v>85</v>
      </c>
      <c r="B71" s="896"/>
      <c r="C71" s="896"/>
      <c r="D71" s="896"/>
      <c r="E71" s="896"/>
      <c r="F71" s="36" t="s">
        <v>86</v>
      </c>
      <c r="G71" s="277">
        <f>INDEX('[1]Detail 2025-26 FEFP Second'!M$1:M$65536,MATCH(A1,'[1]Detail 2025-26 FEFP Second'!A$1:A$65536))</f>
        <v>19167881</v>
      </c>
      <c r="H71" s="37" t="s">
        <v>81</v>
      </c>
      <c r="I71" s="41">
        <f>I66</f>
        <v>1.9000000000000001E-4</v>
      </c>
      <c r="J71" s="138">
        <f>ROUND(G71*I71,2)</f>
        <v>3641.9</v>
      </c>
      <c r="M71" s="2"/>
      <c r="R71" s="177" t="s">
        <v>168</v>
      </c>
      <c r="S71" s="177"/>
      <c r="T71" s="177"/>
      <c r="U71" s="169"/>
      <c r="V71" s="171">
        <f>G72</f>
        <v>11546889</v>
      </c>
      <c r="W71" s="173" t="s">
        <v>81</v>
      </c>
      <c r="X71" s="176">
        <f>X59</f>
        <v>0</v>
      </c>
      <c r="Y71" s="266">
        <f t="shared" si="11"/>
        <v>0</v>
      </c>
    </row>
    <row r="72" spans="1:26" ht="19.5" customHeight="1" x14ac:dyDescent="0.25">
      <c r="A72" s="42" t="s">
        <v>87</v>
      </c>
      <c r="B72" s="42"/>
      <c r="C72" s="42"/>
      <c r="D72" s="42"/>
      <c r="E72" s="42"/>
      <c r="F72" s="36" t="s">
        <v>88</v>
      </c>
      <c r="G72" s="277">
        <f>INDEX('[1]Detail 2025-26 FEFP Second'!T$1:T$65536,MATCH(A1,'[1]Detail 2025-26 FEFP Second'!A$1:A$65536))</f>
        <v>11546889</v>
      </c>
      <c r="H72" s="37" t="s">
        <v>81</v>
      </c>
      <c r="I72" s="41">
        <f>I60</f>
        <v>1.9000000000000001E-4</v>
      </c>
      <c r="J72" s="138">
        <f>ROUND(G72*I72,2)</f>
        <v>2193.91</v>
      </c>
      <c r="M72" s="2"/>
      <c r="R72" s="177" t="s">
        <v>169</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851" t="s">
        <v>91</v>
      </c>
      <c r="S73" s="851"/>
      <c r="T73" s="852" t="s">
        <v>170</v>
      </c>
      <c r="U73" s="853"/>
      <c r="V73" s="853"/>
      <c r="W73" s="853"/>
      <c r="X73" s="853"/>
      <c r="Y73" s="153"/>
    </row>
    <row r="74" spans="1:26" ht="63" customHeight="1" x14ac:dyDescent="0.25">
      <c r="A74" s="854" t="s">
        <v>91</v>
      </c>
      <c r="B74" s="854"/>
      <c r="C74" s="101"/>
      <c r="D74" s="101"/>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69"/>
      <c r="D75" s="69"/>
      <c r="E75" s="65"/>
      <c r="F75" s="65"/>
      <c r="G75" s="65"/>
      <c r="H75" s="65"/>
      <c r="I75" s="65"/>
      <c r="J75" s="129"/>
      <c r="L75" s="66"/>
      <c r="M75" s="2"/>
      <c r="O75" s="36"/>
      <c r="P75" s="36"/>
      <c r="R75" s="857" t="s">
        <v>94</v>
      </c>
      <c r="S75" s="857"/>
      <c r="T75" s="197"/>
      <c r="U75" s="197"/>
      <c r="V75" s="197"/>
      <c r="W75" s="197"/>
      <c r="X75" s="197"/>
      <c r="Y75" s="197"/>
    </row>
    <row r="76" spans="1:26" ht="18.75" customHeight="1" x14ac:dyDescent="0.25">
      <c r="A76" s="837" t="s">
        <v>94</v>
      </c>
      <c r="B76" s="837"/>
      <c r="C76" s="69"/>
      <c r="D76" s="69"/>
      <c r="E76" s="65"/>
      <c r="F76" s="65"/>
      <c r="G76" s="65"/>
      <c r="H76" s="65"/>
      <c r="I76" s="65"/>
      <c r="J76" s="129"/>
      <c r="L76" s="67"/>
      <c r="M76" s="2"/>
      <c r="O76" s="36"/>
      <c r="P76" s="36"/>
      <c r="R76" s="861" t="s">
        <v>95</v>
      </c>
      <c r="S76" s="861"/>
      <c r="T76" s="198"/>
      <c r="U76" s="198"/>
      <c r="V76" s="198"/>
      <c r="W76" s="198"/>
      <c r="X76" s="198"/>
      <c r="Y76" s="197"/>
    </row>
    <row r="77" spans="1:26" ht="18.75" customHeight="1" x14ac:dyDescent="0.25">
      <c r="A77" s="862" t="s">
        <v>95</v>
      </c>
      <c r="B77" s="862"/>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69"/>
      <c r="D79" s="69"/>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11461.43</v>
      </c>
      <c r="Z81" s="72"/>
    </row>
    <row r="82" spans="1:26" ht="18.75" customHeight="1" x14ac:dyDescent="0.25">
      <c r="A82" s="33"/>
      <c r="B82" s="33"/>
      <c r="C82" s="33"/>
      <c r="D82" s="33"/>
      <c r="E82" s="33"/>
      <c r="F82" s="33"/>
      <c r="G82" s="31"/>
      <c r="H82" s="34"/>
      <c r="I82" s="34" t="s">
        <v>100</v>
      </c>
      <c r="J82" s="74">
        <v>11461.43</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858" t="s">
        <v>101</v>
      </c>
      <c r="S83" s="858"/>
      <c r="T83" s="170"/>
      <c r="U83" s="170"/>
      <c r="V83" s="171">
        <f>G84</f>
        <v>63269727</v>
      </c>
      <c r="W83" s="173" t="s">
        <v>81</v>
      </c>
      <c r="X83" s="176">
        <f>IFERROR(ROUND(Y80/Y81,6),0)</f>
        <v>0</v>
      </c>
      <c r="Y83" s="266">
        <f>ROUND(V83*X83,2)</f>
        <v>0</v>
      </c>
      <c r="Z83" s="72"/>
    </row>
    <row r="84" spans="1:26" ht="21" customHeight="1" x14ac:dyDescent="0.25">
      <c r="A84" s="859" t="s">
        <v>101</v>
      </c>
      <c r="B84" s="859"/>
      <c r="C84" s="52"/>
      <c r="D84" s="52"/>
      <c r="G84" s="121">
        <f>INDEX('[1]Detail 2025-26 FEFP Second'!O$1:O$65536,MATCH(A1,'[1]Detail 2025-26 FEFP Second'!A$1:A$65536))</f>
        <v>63269727</v>
      </c>
      <c r="H84" s="37" t="s">
        <v>81</v>
      </c>
      <c r="I84" s="41">
        <f>IFERROR(ROUND(J81/J82,6),0)</f>
        <v>0</v>
      </c>
      <c r="J84" s="62">
        <f>ROUND(G84*I84,2)</f>
        <v>0</v>
      </c>
      <c r="K84" s="70"/>
      <c r="L84" s="70"/>
      <c r="M84" s="71"/>
      <c r="N84" s="70"/>
      <c r="O84" s="70"/>
      <c r="P84" s="70"/>
      <c r="Q84" s="70"/>
      <c r="R84" s="860" t="s">
        <v>171</v>
      </c>
      <c r="S84" s="860"/>
      <c r="T84" s="860"/>
      <c r="U84" s="169"/>
      <c r="V84" s="274"/>
      <c r="W84" s="173"/>
      <c r="X84" s="176"/>
      <c r="Y84" s="266"/>
    </row>
    <row r="85" spans="1:26" ht="17.25" customHeight="1" x14ac:dyDescent="0.25">
      <c r="A85" s="896" t="s">
        <v>102</v>
      </c>
      <c r="B85" s="896"/>
      <c r="C85" s="896"/>
      <c r="D85" s="896"/>
      <c r="E85" s="896"/>
      <c r="F85" s="36" t="s">
        <v>103</v>
      </c>
      <c r="G85" s="121">
        <f>INDEX('[1]Detail 2025-26 FEFP Second'!Q$1:Q$65536,MATCH(A1,'[1]Detail 2025-26 FEFP Second'!A$1:A$65536))</f>
        <v>268816278</v>
      </c>
      <c r="H85" s="37" t="s">
        <v>81</v>
      </c>
      <c r="I85" s="41">
        <f>I57</f>
        <v>1.5799999999999999E-4</v>
      </c>
      <c r="J85" s="138">
        <f>ROUND(G85*I85,2)</f>
        <v>42472.97</v>
      </c>
      <c r="K85" s="70"/>
      <c r="L85" s="70"/>
      <c r="M85" s="71"/>
      <c r="N85" s="70"/>
      <c r="O85" s="70"/>
      <c r="P85" s="70"/>
      <c r="Q85" s="70"/>
      <c r="R85" s="860" t="s">
        <v>172</v>
      </c>
      <c r="S85" s="860"/>
      <c r="T85" s="860"/>
      <c r="U85" s="169"/>
      <c r="V85" s="171">
        <f>G85</f>
        <v>268816278</v>
      </c>
      <c r="W85" s="173" t="s">
        <v>81</v>
      </c>
      <c r="X85" s="176">
        <f>X56</f>
        <v>0</v>
      </c>
      <c r="Y85" s="266">
        <f t="shared" ref="Y85:Y87" si="12">ROUND(V85*X85,2)</f>
        <v>0</v>
      </c>
    </row>
    <row r="86" spans="1:26" ht="14.25" customHeight="1" x14ac:dyDescent="0.25">
      <c r="A86" s="896" t="s">
        <v>104</v>
      </c>
      <c r="B86" s="896"/>
      <c r="C86" s="896"/>
      <c r="D86" s="896"/>
      <c r="E86" s="896"/>
      <c r="F86" s="36" t="s">
        <v>103</v>
      </c>
      <c r="G86" s="139">
        <v>0</v>
      </c>
      <c r="H86" s="37" t="s">
        <v>81</v>
      </c>
      <c r="I86" s="41">
        <f>I57</f>
        <v>1.5799999999999999E-4</v>
      </c>
      <c r="J86" s="138">
        <f>ROUND(G86*I86,2)</f>
        <v>0</v>
      </c>
      <c r="K86" s="70"/>
      <c r="L86" s="71"/>
      <c r="M86" s="76"/>
      <c r="N86" s="76"/>
      <c r="O86" s="76"/>
      <c r="P86" s="76"/>
      <c r="Q86" s="70"/>
      <c r="R86" s="860" t="s">
        <v>173</v>
      </c>
      <c r="S86" s="860"/>
      <c r="T86" s="860"/>
      <c r="U86" s="169"/>
      <c r="V86" s="203">
        <v>0</v>
      </c>
      <c r="W86" s="173" t="s">
        <v>81</v>
      </c>
      <c r="X86" s="176">
        <f>X56</f>
        <v>0</v>
      </c>
      <c r="Y86" s="266">
        <f t="shared" si="12"/>
        <v>0</v>
      </c>
    </row>
    <row r="87" spans="1:26" ht="18" customHeight="1" x14ac:dyDescent="0.25">
      <c r="A87" s="896" t="s">
        <v>105</v>
      </c>
      <c r="B87" s="896"/>
      <c r="C87" s="896"/>
      <c r="D87" s="896"/>
      <c r="E87" s="896"/>
      <c r="F87" s="36" t="s">
        <v>84</v>
      </c>
      <c r="G87" s="139">
        <v>0</v>
      </c>
      <c r="H87" s="37" t="s">
        <v>81</v>
      </c>
      <c r="I87" s="41">
        <f>I54</f>
        <v>1.64E-4</v>
      </c>
      <c r="J87" s="62">
        <f>ROUND(G87*I87,2)</f>
        <v>0</v>
      </c>
      <c r="K87" s="77"/>
      <c r="L87" s="70"/>
      <c r="M87" s="71"/>
      <c r="N87" s="70"/>
      <c r="O87" s="70"/>
      <c r="P87" s="70"/>
      <c r="Q87" s="70"/>
      <c r="R87" s="177" t="s">
        <v>174</v>
      </c>
      <c r="S87" s="177"/>
      <c r="T87" s="177"/>
      <c r="U87" s="169"/>
      <c r="V87" s="203">
        <v>0</v>
      </c>
      <c r="W87" s="173"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703" t="s">
        <v>109</v>
      </c>
      <c r="H89" s="703"/>
      <c r="I89" s="703"/>
      <c r="J89" s="703"/>
      <c r="K89" s="70"/>
      <c r="L89" s="70"/>
      <c r="M89" s="71"/>
      <c r="N89" s="70"/>
      <c r="O89" s="70"/>
      <c r="P89" s="70"/>
      <c r="Q89" s="70"/>
      <c r="R89" s="929" t="s">
        <v>107</v>
      </c>
      <c r="S89" s="929"/>
      <c r="T89" s="874" t="s">
        <v>176</v>
      </c>
      <c r="U89" s="930"/>
      <c r="V89" s="931" t="s">
        <v>109</v>
      </c>
      <c r="W89" s="931"/>
      <c r="X89" s="931"/>
      <c r="Y89" s="931"/>
    </row>
    <row r="90" spans="1:26" ht="18.75" customHeight="1" x14ac:dyDescent="0.25">
      <c r="A90" s="33" t="s">
        <v>110</v>
      </c>
      <c r="B90" s="80">
        <f>I12+I13+I18+I21+I24</f>
        <v>0</v>
      </c>
      <c r="C90" s="80"/>
      <c r="D90" s="867">
        <f>I6</f>
        <v>1.0355000000000001</v>
      </c>
      <c r="E90" s="867"/>
      <c r="F90" s="867"/>
      <c r="G90" s="122">
        <f>'[1]Detail 2025-26 FEFP Second'!AB3</f>
        <v>958.42</v>
      </c>
      <c r="H90" s="47" t="s">
        <v>68</v>
      </c>
      <c r="I90" s="706">
        <f>ROUND(B90*D90*G90,2)</f>
        <v>0</v>
      </c>
      <c r="J90" s="81"/>
      <c r="K90" s="70"/>
      <c r="L90" s="70"/>
      <c r="M90" s="71"/>
      <c r="N90" s="70"/>
      <c r="O90" s="70"/>
      <c r="P90" s="70"/>
      <c r="Q90" s="70"/>
      <c r="R90" s="166" t="s">
        <v>110</v>
      </c>
      <c r="S90" s="204">
        <f>X12+X13+X18+X21+X24</f>
        <v>0</v>
      </c>
      <c r="T90" s="922">
        <f>X6</f>
        <v>1.0355000000000001</v>
      </c>
      <c r="U90" s="922"/>
      <c r="V90" s="122">
        <f>G90</f>
        <v>958.42</v>
      </c>
      <c r="W90" s="182" t="s">
        <v>68</v>
      </c>
      <c r="X90" s="272">
        <f>ROUND(S90*T90*V90,2)</f>
        <v>0</v>
      </c>
      <c r="Y90" s="205"/>
    </row>
    <row r="91" spans="1:26" ht="21" customHeight="1" x14ac:dyDescent="0.25">
      <c r="A91" s="82" t="s">
        <v>60</v>
      </c>
      <c r="B91" s="80">
        <f>I14+I15+I19+I22+I25</f>
        <v>36.104599999999998</v>
      </c>
      <c r="C91" s="80"/>
      <c r="D91" s="867">
        <f>I6</f>
        <v>1.0355000000000001</v>
      </c>
      <c r="E91" s="867"/>
      <c r="F91" s="867"/>
      <c r="G91" s="122">
        <f>'[1]Detail 2025-26 FEFP Second'!AC3</f>
        <v>915.09</v>
      </c>
      <c r="H91" s="47" t="s">
        <v>68</v>
      </c>
      <c r="I91" s="707">
        <f>ROUND(B91*D91*G91,2)</f>
        <v>34211.839999999997</v>
      </c>
      <c r="K91" s="70"/>
      <c r="L91" s="70"/>
      <c r="M91" s="71"/>
      <c r="N91" s="70"/>
      <c r="O91" s="70"/>
      <c r="P91" s="70"/>
      <c r="Q91" s="70"/>
      <c r="R91" s="206" t="s">
        <v>60</v>
      </c>
      <c r="S91" s="204">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141">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84" t="s">
        <v>111</v>
      </c>
      <c r="B93" s="109">
        <f>SUM(B90:B92)</f>
        <v>36.104599999999998</v>
      </c>
      <c r="C93" s="109"/>
      <c r="D93" s="109"/>
      <c r="E93" s="937" t="s">
        <v>112</v>
      </c>
      <c r="F93" s="937"/>
      <c r="G93" s="937"/>
      <c r="H93" s="937"/>
      <c r="I93" s="937"/>
      <c r="J93" s="127">
        <f>IF(A1=75,0,I92+I91+I90)</f>
        <v>34211.839999999997</v>
      </c>
      <c r="K93" s="70"/>
      <c r="L93" s="70"/>
      <c r="M93" s="71"/>
      <c r="N93" s="70"/>
      <c r="O93" s="70"/>
      <c r="P93" s="70"/>
      <c r="Q93" s="70"/>
      <c r="R93" s="209"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36" t="s">
        <v>115</v>
      </c>
      <c r="G95" s="939"/>
      <c r="H95" s="939"/>
      <c r="I95" s="939"/>
      <c r="J95" s="939"/>
      <c r="K95" s="70"/>
      <c r="L95" s="70"/>
      <c r="M95" s="71"/>
      <c r="N95" s="70"/>
      <c r="O95" s="70"/>
      <c r="P95" s="70"/>
      <c r="Q95" s="70"/>
      <c r="R95" s="860" t="s">
        <v>177</v>
      </c>
      <c r="S95" s="860"/>
      <c r="T95" s="860"/>
      <c r="U95" s="169"/>
      <c r="V95" s="926"/>
      <c r="W95" s="926"/>
      <c r="X95" s="926"/>
      <c r="Y95" s="926"/>
    </row>
    <row r="96" spans="1:26" ht="15" customHeight="1" x14ac:dyDescent="0.25">
      <c r="B96" s="42"/>
      <c r="C96" s="123" t="s">
        <v>159</v>
      </c>
      <c r="D96" s="123" t="s">
        <v>160</v>
      </c>
      <c r="E96" s="870" t="s">
        <v>161</v>
      </c>
      <c r="F96" s="870"/>
      <c r="G96" s="870"/>
      <c r="H96" s="36"/>
      <c r="I96" s="36"/>
      <c r="J96" s="36"/>
      <c r="K96" s="70"/>
      <c r="L96" s="70"/>
      <c r="M96" s="71"/>
      <c r="N96" s="70"/>
      <c r="O96" s="70"/>
      <c r="P96" s="70"/>
      <c r="Q96" s="70"/>
      <c r="R96" s="927" t="s">
        <v>116</v>
      </c>
      <c r="S96" s="927"/>
      <c r="T96" s="928">
        <f>IF(I111=1,E97,0)</f>
        <v>0</v>
      </c>
      <c r="U96" s="928"/>
      <c r="V96" s="928"/>
      <c r="W96" s="211" t="s">
        <v>117</v>
      </c>
      <c r="X96" s="212">
        <f>I97</f>
        <v>617</v>
      </c>
      <c r="Y96" s="266">
        <f>ROUND(X96*T96,2)</f>
        <v>0</v>
      </c>
    </row>
    <row r="97" spans="1:25" ht="17.25" customHeight="1" x14ac:dyDescent="0.25">
      <c r="A97" s="910" t="s">
        <v>116</v>
      </c>
      <c r="B97" s="910"/>
      <c r="C97" s="125">
        <v>7</v>
      </c>
      <c r="D97" s="125">
        <v>7</v>
      </c>
      <c r="E97" s="940">
        <f>(C97+D97)/2</f>
        <v>7</v>
      </c>
      <c r="F97" s="940"/>
      <c r="G97" s="940"/>
      <c r="H97" s="85" t="s">
        <v>117</v>
      </c>
      <c r="I97" s="130">
        <f>IF(A1&gt;67,0,INDEX('[1]Transportation Per Student'!F$1:F$65536,MATCH(A1,'[1]Transportation Per Student'!B$1:B$65536)))</f>
        <v>617</v>
      </c>
      <c r="J97" s="138">
        <f>ROUND(I97*E97,2)</f>
        <v>4319</v>
      </c>
      <c r="K97" s="70"/>
      <c r="L97" s="70"/>
      <c r="M97" s="71"/>
      <c r="N97" s="70"/>
      <c r="O97" s="70"/>
      <c r="P97" s="70"/>
      <c r="Q97" s="70"/>
      <c r="R97" s="927" t="s">
        <v>118</v>
      </c>
      <c r="S97" s="927"/>
      <c r="T97" s="928">
        <f>IF(I112=1,E98,0)</f>
        <v>0</v>
      </c>
      <c r="U97" s="928"/>
      <c r="V97" s="928"/>
      <c r="W97" s="211" t="s">
        <v>117</v>
      </c>
      <c r="X97" s="212">
        <f>I98</f>
        <v>1870</v>
      </c>
      <c r="Y97" s="266">
        <f>ROUND(X97*T97,2)</f>
        <v>0</v>
      </c>
    </row>
    <row r="98" spans="1:25" ht="17.25" customHeight="1" x14ac:dyDescent="0.25">
      <c r="A98" s="910" t="s">
        <v>118</v>
      </c>
      <c r="B98" s="910"/>
      <c r="C98" s="273">
        <v>0</v>
      </c>
      <c r="D98" s="273"/>
      <c r="E98" s="941">
        <f>(C98+D98)/2</f>
        <v>0</v>
      </c>
      <c r="F98" s="941"/>
      <c r="G98" s="941"/>
      <c r="H98" s="85" t="s">
        <v>117</v>
      </c>
      <c r="I98" s="130">
        <f>IF(A1&gt;67,0,INDEX('[1]Transportation Per Student'!J$1:J$65536,MATCH(A1,'[1]Transportation Per Student'!B$1:B$65536)))</f>
        <v>1870</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896" t="s">
        <v>119</v>
      </c>
      <c r="B100" s="896"/>
      <c r="C100" s="896"/>
      <c r="D100" s="896"/>
      <c r="E100" s="896"/>
      <c r="F100" s="37" t="s">
        <v>120</v>
      </c>
      <c r="G100" s="866"/>
      <c r="H100" s="866"/>
      <c r="I100" s="866"/>
      <c r="J100" s="866"/>
      <c r="K100" s="70"/>
      <c r="L100" s="70"/>
      <c r="M100" s="71"/>
      <c r="N100" s="70"/>
      <c r="O100" s="70"/>
      <c r="P100" s="70"/>
      <c r="Q100" s="70"/>
      <c r="R100" s="860" t="s">
        <v>178</v>
      </c>
      <c r="S100" s="860"/>
      <c r="T100" s="860"/>
      <c r="U100" s="173"/>
      <c r="V100" s="874"/>
      <c r="W100" s="874"/>
      <c r="X100" s="874"/>
      <c r="Y100" s="874"/>
    </row>
    <row r="101" spans="1:25" ht="53.25" customHeight="1" x14ac:dyDescent="0.25">
      <c r="A101" s="947" t="s">
        <v>121</v>
      </c>
      <c r="B101" s="947"/>
      <c r="C101" s="87"/>
      <c r="D101" s="868" t="s">
        <v>122</v>
      </c>
      <c r="E101" s="868"/>
      <c r="F101" s="868"/>
      <c r="G101" s="948" t="s">
        <v>123</v>
      </c>
      <c r="H101" s="948"/>
      <c r="I101" s="45" t="s">
        <v>124</v>
      </c>
      <c r="J101" s="87" t="s">
        <v>125</v>
      </c>
      <c r="K101" s="70"/>
      <c r="L101" s="70"/>
      <c r="M101" s="70"/>
      <c r="N101" s="70"/>
      <c r="O101" s="70"/>
      <c r="P101" s="70"/>
      <c r="Q101" s="70"/>
      <c r="R101" s="934" t="s">
        <v>121</v>
      </c>
      <c r="S101" s="934"/>
      <c r="T101" s="935" t="s">
        <v>122</v>
      </c>
      <c r="U101" s="935"/>
      <c r="V101" s="936" t="s">
        <v>123</v>
      </c>
      <c r="W101" s="936"/>
      <c r="X101" s="180" t="s">
        <v>124</v>
      </c>
      <c r="Y101" s="213" t="s">
        <v>125</v>
      </c>
    </row>
    <row r="102" spans="1:25" ht="16.5" customHeight="1" x14ac:dyDescent="0.25">
      <c r="A102" s="859" t="s">
        <v>126</v>
      </c>
      <c r="B102" s="859"/>
      <c r="C102" s="52"/>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52"/>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105"/>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37"/>
      <c r="D105" s="37"/>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92" t="s">
        <v>130</v>
      </c>
      <c r="G106" s="914"/>
      <c r="H106" s="914"/>
      <c r="I106" s="914"/>
      <c r="J106" s="93"/>
      <c r="K106" s="94"/>
      <c r="L106" s="94"/>
      <c r="M106" s="94"/>
      <c r="N106" s="94"/>
      <c r="O106" s="94"/>
      <c r="P106" s="94"/>
      <c r="Q106" s="94"/>
      <c r="R106" s="860" t="s">
        <v>179</v>
      </c>
      <c r="S106" s="860"/>
      <c r="T106" s="860"/>
      <c r="U106" s="218"/>
      <c r="V106" s="942"/>
      <c r="W106" s="942"/>
      <c r="X106" s="942"/>
      <c r="Y106" s="157">
        <v>0</v>
      </c>
    </row>
    <row r="107" spans="1:25" ht="30" customHeight="1" thickBot="1" x14ac:dyDescent="0.3">
      <c r="A107" s="910" t="s">
        <v>125</v>
      </c>
      <c r="B107" s="910"/>
      <c r="C107" s="910"/>
      <c r="D107" s="910"/>
      <c r="E107" s="910"/>
      <c r="F107" s="910"/>
      <c r="G107" s="910"/>
      <c r="H107" s="910"/>
      <c r="I107" s="910"/>
      <c r="J107" s="95">
        <f>SUM(J106,J105,J98,J97,J93,J86,J85,J71,J70,J68,J33,J72,J50,J87,J84)</f>
        <v>309791.44</v>
      </c>
      <c r="R107" s="909" t="s">
        <v>125</v>
      </c>
      <c r="S107" s="909"/>
      <c r="T107" s="909"/>
      <c r="U107" s="909"/>
      <c r="V107" s="909"/>
      <c r="W107" s="909"/>
      <c r="X107" s="909"/>
      <c r="Y107" s="219">
        <f>SUM(Y106,Y105,Y97,Y96,Y93,Y86,Y85,Y84,Y70,Y69,Y67,Y33,Y71,Y50,Y87,Y83)</f>
        <v>0</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96">
        <f>J107-J38</f>
        <v>295020.34000000003</v>
      </c>
      <c r="R109" s="170" t="s">
        <v>180</v>
      </c>
      <c r="S109" s="170"/>
      <c r="T109" s="170"/>
      <c r="U109" s="170"/>
      <c r="V109" s="170"/>
      <c r="W109" s="170"/>
      <c r="X109" s="170"/>
      <c r="Y109" s="220">
        <f>Y107-Y38</f>
        <v>0</v>
      </c>
    </row>
    <row r="110" spans="1:25" ht="18.75" customHeight="1" thickTop="1" x14ac:dyDescent="0.25">
      <c r="A110" s="896" t="s">
        <v>133</v>
      </c>
      <c r="B110" s="896"/>
      <c r="C110" s="896"/>
      <c r="D110" s="896"/>
      <c r="E110" s="896"/>
      <c r="F110" s="896"/>
      <c r="G110" s="896"/>
      <c r="H110" s="896"/>
      <c r="I110" s="42"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97"/>
      <c r="J111" s="46">
        <f>Y109</f>
        <v>0</v>
      </c>
      <c r="R111" s="950" t="s">
        <v>181</v>
      </c>
      <c r="S111" s="950"/>
      <c r="T111" s="950"/>
      <c r="U111" s="950"/>
      <c r="V111" s="950"/>
      <c r="W111" s="950"/>
      <c r="X111" s="950"/>
      <c r="Y111" s="950"/>
    </row>
    <row r="112" spans="1:25" ht="15.75" customHeight="1" x14ac:dyDescent="0.25">
      <c r="A112" s="51"/>
      <c r="B112" s="51"/>
      <c r="C112" s="51"/>
      <c r="D112" s="51"/>
      <c r="E112" s="51"/>
      <c r="F112" s="51"/>
      <c r="G112" s="51"/>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9">
        <v>0</v>
      </c>
      <c r="I114" s="710">
        <f>IF(I111=1,J111,J109)</f>
        <v>295020.34000000003</v>
      </c>
      <c r="J114" s="711">
        <f>ROUND(IF(E28=0,0,IF(E28&gt;250,-(((250/E28)*I114)*IF(H114="H",0.02,0.05)),IF(H114="H",-0.02*I114,-0.05*I114))),2)</f>
        <v>-14751.02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295040.42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Payments'!R72</f>
        <v>-147808.67000000001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147231.74999999997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24538.63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98" t="s">
        <v>146</v>
      </c>
      <c r="B138" s="98"/>
      <c r="C138" s="98"/>
      <c r="D138" s="98"/>
      <c r="E138" s="98"/>
      <c r="F138" s="98"/>
      <c r="G138" s="98"/>
      <c r="H138" s="98"/>
      <c r="I138" s="98"/>
      <c r="J138" s="98"/>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 ref="G15:H15"/>
    <mergeCell ref="A16:B16"/>
    <mergeCell ref="E16:F16"/>
    <mergeCell ref="G16:H16"/>
    <mergeCell ref="A13:B13"/>
    <mergeCell ref="E13:F13"/>
    <mergeCell ref="G13:H13"/>
    <mergeCell ref="A14:B14"/>
    <mergeCell ref="E14:F14"/>
    <mergeCell ref="G14:H14"/>
    <mergeCell ref="A19:B19"/>
    <mergeCell ref="E19:F19"/>
    <mergeCell ref="G19:H19"/>
    <mergeCell ref="A20:B20"/>
    <mergeCell ref="E20:F20"/>
    <mergeCell ref="G20:H20"/>
    <mergeCell ref="A17:B17"/>
    <mergeCell ref="E17:F17"/>
    <mergeCell ref="G17:H17"/>
    <mergeCell ref="A18:B18"/>
    <mergeCell ref="E18:F18"/>
    <mergeCell ref="G18:H18"/>
    <mergeCell ref="A23:B23"/>
    <mergeCell ref="E23:F23"/>
    <mergeCell ref="G23:H23"/>
    <mergeCell ref="A24:B24"/>
    <mergeCell ref="E24:F24"/>
    <mergeCell ref="G24:H24"/>
    <mergeCell ref="A21:B21"/>
    <mergeCell ref="E21:F21"/>
    <mergeCell ref="G21:H21"/>
    <mergeCell ref="A22:B22"/>
    <mergeCell ref="E22:F22"/>
    <mergeCell ref="G22:H22"/>
    <mergeCell ref="A27:B27"/>
    <mergeCell ref="E27:F27"/>
    <mergeCell ref="G27:H27"/>
    <mergeCell ref="A28:B28"/>
    <mergeCell ref="E28:F28"/>
    <mergeCell ref="G28:H28"/>
    <mergeCell ref="A25:B25"/>
    <mergeCell ref="E25:F25"/>
    <mergeCell ref="G25:H25"/>
    <mergeCell ref="A26:B26"/>
    <mergeCell ref="E26:F26"/>
    <mergeCell ref="G26:H26"/>
    <mergeCell ref="A33:F33"/>
    <mergeCell ref="H33:I33"/>
    <mergeCell ref="A35:F35"/>
    <mergeCell ref="A36:E36"/>
    <mergeCell ref="A37:E37"/>
    <mergeCell ref="A38:E38"/>
    <mergeCell ref="A29:I29"/>
    <mergeCell ref="A30:B30"/>
    <mergeCell ref="E30:I30"/>
    <mergeCell ref="A31:B31"/>
    <mergeCell ref="A32:F32"/>
    <mergeCell ref="H32:I32"/>
    <mergeCell ref="A40:B40"/>
    <mergeCell ref="E40:F40"/>
    <mergeCell ref="A41:B49"/>
    <mergeCell ref="E41:F41"/>
    <mergeCell ref="E42:F42"/>
    <mergeCell ref="E43:F43"/>
    <mergeCell ref="E44:F44"/>
    <mergeCell ref="E45:F45"/>
    <mergeCell ref="E46:F46"/>
    <mergeCell ref="E47:F47"/>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R63:Y63"/>
    <mergeCell ref="R64:S64"/>
    <mergeCell ref="V64:W64"/>
    <mergeCell ref="X64:Y64"/>
    <mergeCell ref="X65:Y65"/>
    <mergeCell ref="R67:T67"/>
    <mergeCell ref="R68:S68"/>
    <mergeCell ref="R69:T69"/>
    <mergeCell ref="R70:T70"/>
    <mergeCell ref="V50:X50"/>
    <mergeCell ref="R51:Y51"/>
    <mergeCell ref="R52:S52"/>
    <mergeCell ref="X52:Y52"/>
    <mergeCell ref="X53:Y53"/>
    <mergeCell ref="R54:Y54"/>
    <mergeCell ref="R55:S55"/>
    <mergeCell ref="X55:Y55"/>
    <mergeCell ref="X56:Y56"/>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workbookViewId="0">
      <selection activeCell="J122" sqref="J122"/>
    </sheetView>
  </sheetViews>
  <sheetFormatPr defaultRowHeight="15.75" x14ac:dyDescent="0.25"/>
  <cols>
    <col min="1" max="1" width="13" style="753"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555</v>
      </c>
      <c r="B2" s="102"/>
      <c r="C2" s="102"/>
      <c r="D2" s="102"/>
      <c r="E2" s="100"/>
      <c r="F2" s="100"/>
      <c r="G2" s="100"/>
      <c r="H2" s="100"/>
      <c r="I2" s="100"/>
      <c r="J2" s="100"/>
      <c r="K2" s="6"/>
      <c r="L2" s="6"/>
      <c r="M2" s="6"/>
      <c r="N2" s="6"/>
      <c r="O2" s="6"/>
      <c r="P2" s="6"/>
      <c r="Q2" s="6"/>
      <c r="R2" s="873" t="str">
        <f>Revenue_Estimate_Worksheet_for___________Charter_School</f>
        <v>Revenue Estimate Worksheet: Palmetto Park - 0571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773"/>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774"/>
      <c r="D6" s="774"/>
      <c r="E6" s="982">
        <v>5372.6</v>
      </c>
      <c r="F6" s="982"/>
      <c r="G6" s="983" t="s">
        <v>5</v>
      </c>
      <c r="H6" s="983"/>
      <c r="I6" s="283">
        <f>INDEX('[1]Detail 2025-26 FEFP Second'!$C$1:$C$65536,MATCH('0571'!$A$1,'[1]Detail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774"/>
      <c r="B7" s="774"/>
      <c r="C7" s="774"/>
      <c r="D7" s="774"/>
      <c r="E7" s="227"/>
      <c r="F7" s="227"/>
      <c r="G7" s="775" t="s">
        <v>6</v>
      </c>
      <c r="H7" s="775"/>
      <c r="I7" s="283">
        <f>INDEX('[1]Detail 2025-26 FEFP Second'!$D$1:$D$65536,MATCH('0571'!$A$1,'[1]Detail 2025-26 FEFP Second'!$A$1:$A$65536,0))</f>
        <v>1</v>
      </c>
      <c r="J7" s="12"/>
      <c r="M7" s="2"/>
      <c r="R7" s="748"/>
      <c r="S7" s="748"/>
      <c r="T7" s="749"/>
      <c r="U7" s="749"/>
      <c r="V7" s="750" t="s">
        <v>6</v>
      </c>
      <c r="W7" s="750"/>
      <c r="X7" s="751">
        <v>1</v>
      </c>
      <c r="Y7" s="751"/>
    </row>
    <row r="8" spans="1:25" ht="18" customHeight="1" x14ac:dyDescent="0.25">
      <c r="A8" s="774"/>
      <c r="B8" s="774"/>
      <c r="C8" s="774"/>
      <c r="D8" s="774"/>
      <c r="E8" s="13"/>
      <c r="F8" s="13"/>
      <c r="G8" s="14"/>
      <c r="H8" s="14"/>
      <c r="I8" s="15"/>
      <c r="J8" s="16" t="s">
        <v>7</v>
      </c>
      <c r="M8" s="2"/>
      <c r="R8" s="748"/>
      <c r="S8" s="748"/>
      <c r="T8" s="148"/>
      <c r="U8" s="148"/>
      <c r="V8" s="149"/>
      <c r="W8" s="149"/>
      <c r="X8" s="150"/>
      <c r="Y8" s="151" t="s">
        <v>7</v>
      </c>
    </row>
    <row r="9" spans="1:25" ht="15.75" customHeight="1" x14ac:dyDescent="0.25">
      <c r="A9" s="774"/>
      <c r="B9" s="774"/>
      <c r="C9" s="111" t="s">
        <v>156</v>
      </c>
      <c r="D9" s="112" t="s">
        <v>157</v>
      </c>
      <c r="E9" s="13"/>
      <c r="F9" s="13"/>
      <c r="G9" s="984" t="s">
        <v>8</v>
      </c>
      <c r="H9" s="984"/>
      <c r="I9" s="15" t="s">
        <v>9</v>
      </c>
      <c r="J9" s="16" t="s">
        <v>10</v>
      </c>
      <c r="M9" s="2"/>
      <c r="R9" s="748"/>
      <c r="S9" s="748"/>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2.5</v>
      </c>
      <c r="D14" s="415">
        <v>2.5</v>
      </c>
      <c r="E14" s="965">
        <f t="shared" si="0"/>
        <v>5</v>
      </c>
      <c r="F14" s="965"/>
      <c r="G14" s="966">
        <v>1</v>
      </c>
      <c r="H14" s="966"/>
      <c r="I14" s="578">
        <f t="shared" si="2"/>
        <v>5</v>
      </c>
      <c r="J14" s="579">
        <f>ROUND(ROUND(ROUND(I14*$E$6,4)*($I$6),2)*(MAX($I$7,1)),2)</f>
        <v>27816.639999999999</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23.5</v>
      </c>
      <c r="D16" s="415">
        <v>23.5</v>
      </c>
      <c r="E16" s="965">
        <f t="shared" si="0"/>
        <v>47</v>
      </c>
      <c r="F16" s="965"/>
      <c r="G16" s="966">
        <v>0.97199999999999998</v>
      </c>
      <c r="H16" s="966"/>
      <c r="I16" s="578">
        <f t="shared" si="2"/>
        <v>45.683999999999997</v>
      </c>
      <c r="J16" s="579">
        <f t="shared" si="1"/>
        <v>254155.04</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26</v>
      </c>
      <c r="D28" s="126">
        <f>SUM(D12:D27)</f>
        <v>26</v>
      </c>
      <c r="E28" s="964">
        <f>SUM(E12:E27)</f>
        <v>52</v>
      </c>
      <c r="F28" s="964"/>
      <c r="G28" s="959"/>
      <c r="H28" s="959"/>
      <c r="I28" s="23">
        <f>SUM(I12:I27)</f>
        <v>50.683999999999997</v>
      </c>
      <c r="J28" s="127">
        <f>SUM(J12:J27)</f>
        <v>281971.68</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737"/>
      <c r="D30" s="737"/>
      <c r="E30" s="855" t="s">
        <v>39</v>
      </c>
      <c r="F30" s="856"/>
      <c r="G30" s="856"/>
      <c r="H30" s="856"/>
      <c r="I30" s="856"/>
      <c r="J30" s="18" t="s">
        <v>40</v>
      </c>
      <c r="L30" s="25"/>
      <c r="M30" s="25"/>
      <c r="R30" s="736" t="s">
        <v>38</v>
      </c>
      <c r="S30" s="736"/>
      <c r="T30" s="852" t="s">
        <v>162</v>
      </c>
      <c r="U30" s="853"/>
      <c r="V30" s="853"/>
      <c r="W30" s="853"/>
      <c r="X30" s="853"/>
      <c r="Y30" s="153" t="s">
        <v>40</v>
      </c>
    </row>
    <row r="31" spans="1:25" ht="20.25" hidden="1" customHeight="1" x14ac:dyDescent="0.25">
      <c r="A31" s="837" t="s">
        <v>41</v>
      </c>
      <c r="B31" s="837"/>
      <c r="C31" s="735"/>
      <c r="D31" s="735"/>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50.683999999999997</v>
      </c>
      <c r="H33" s="959" t="s">
        <v>45</v>
      </c>
      <c r="I33" s="959"/>
      <c r="J33" s="32">
        <f>SUM(J32,J28)</f>
        <v>281971.68</v>
      </c>
      <c r="M33" s="2"/>
      <c r="R33" s="909" t="s">
        <v>44</v>
      </c>
      <c r="S33" s="909"/>
      <c r="T33" s="909"/>
      <c r="U33" s="909"/>
      <c r="V33" s="164" t="e">
        <f>V32+X28</f>
        <v>#REF!</v>
      </c>
      <c r="W33" s="907" t="s">
        <v>45</v>
      </c>
      <c r="X33" s="907"/>
      <c r="Y33" s="165">
        <f>SUM(Y32,Y28)</f>
        <v>0</v>
      </c>
    </row>
    <row r="34" spans="1:25" ht="20.25" customHeight="1" x14ac:dyDescent="0.25">
      <c r="A34" s="757"/>
      <c r="B34" s="757"/>
      <c r="C34" s="757"/>
      <c r="D34" s="757"/>
      <c r="E34" s="757"/>
      <c r="F34" s="757"/>
      <c r="G34" s="31"/>
      <c r="H34" s="772"/>
      <c r="I34" s="772"/>
      <c r="J34" s="35"/>
      <c r="M34" s="2"/>
      <c r="R34" s="756"/>
      <c r="S34" s="756"/>
      <c r="T34" s="756"/>
      <c r="U34" s="756"/>
      <c r="V34" s="164"/>
      <c r="W34" s="755"/>
      <c r="X34" s="755"/>
      <c r="Y34" s="168"/>
    </row>
    <row r="35" spans="1:25" ht="66.75" customHeight="1" x14ac:dyDescent="0.25">
      <c r="A35" s="945" t="s">
        <v>46</v>
      </c>
      <c r="B35" s="945"/>
      <c r="C35" s="945"/>
      <c r="D35" s="945"/>
      <c r="E35" s="945"/>
      <c r="F35" s="945"/>
      <c r="G35" s="767"/>
      <c r="J35" s="267"/>
      <c r="M35" s="2"/>
      <c r="R35" s="898" t="s">
        <v>46</v>
      </c>
      <c r="S35" s="860"/>
      <c r="T35" s="860"/>
      <c r="U35" s="860"/>
      <c r="V35" s="762"/>
      <c r="W35" s="170"/>
      <c r="X35" s="170"/>
      <c r="Y35" s="268"/>
    </row>
    <row r="36" spans="1:25" ht="20.25" customHeight="1" x14ac:dyDescent="0.25">
      <c r="A36" s="859" t="s">
        <v>47</v>
      </c>
      <c r="B36" s="859"/>
      <c r="C36" s="859"/>
      <c r="D36" s="859"/>
      <c r="E36" s="859"/>
      <c r="F36" s="767" t="s">
        <v>48</v>
      </c>
      <c r="G36" s="132">
        <v>281971.68</v>
      </c>
      <c r="H36" s="744" t="s">
        <v>49</v>
      </c>
      <c r="I36" s="38">
        <v>6.6699999999999995E-2</v>
      </c>
      <c r="J36" s="131">
        <f>ROUND(G36*I36,2)</f>
        <v>18807.509999999998</v>
      </c>
      <c r="K36" s="39"/>
      <c r="L36" s="757"/>
      <c r="M36" s="757"/>
      <c r="N36" s="757"/>
      <c r="O36" s="31"/>
      <c r="P36" s="772"/>
      <c r="Q36" s="772"/>
      <c r="R36" s="858" t="s">
        <v>47</v>
      </c>
      <c r="S36" s="858"/>
      <c r="T36" s="858"/>
      <c r="U36" s="762"/>
      <c r="V36" s="172">
        <v>61196.59</v>
      </c>
      <c r="W36" s="746" t="s">
        <v>49</v>
      </c>
      <c r="X36" s="174">
        <v>6.6699999999999995E-2</v>
      </c>
      <c r="Y36" s="266">
        <f>ROUND(V36*X36,2)</f>
        <v>4081.81</v>
      </c>
    </row>
    <row r="37" spans="1:25" ht="20.25" customHeight="1" x14ac:dyDescent="0.25">
      <c r="A37" s="859" t="s">
        <v>50</v>
      </c>
      <c r="B37" s="859"/>
      <c r="C37" s="859"/>
      <c r="D37" s="859"/>
      <c r="E37" s="859"/>
      <c r="F37" s="767" t="s">
        <v>48</v>
      </c>
      <c r="G37" s="132">
        <v>281971.68</v>
      </c>
      <c r="H37" s="744" t="s">
        <v>49</v>
      </c>
      <c r="I37" s="38">
        <v>5.4000000000000003E-3</v>
      </c>
      <c r="J37" s="131">
        <f>ROUND(G37*I37,2)</f>
        <v>1522.65</v>
      </c>
      <c r="K37" s="39"/>
      <c r="L37" s="757"/>
      <c r="M37" s="757"/>
      <c r="N37" s="757"/>
      <c r="O37" s="31"/>
      <c r="P37" s="772"/>
      <c r="Q37" s="772"/>
      <c r="R37" s="858" t="s">
        <v>50</v>
      </c>
      <c r="S37" s="858"/>
      <c r="T37" s="858"/>
      <c r="U37" s="762"/>
      <c r="V37" s="172">
        <v>61196.59</v>
      </c>
      <c r="W37" s="746" t="s">
        <v>49</v>
      </c>
      <c r="X37" s="174">
        <v>5.4000000000000003E-3</v>
      </c>
      <c r="Y37" s="266">
        <f>ROUND(V37*X37,2)</f>
        <v>330.46</v>
      </c>
    </row>
    <row r="38" spans="1:25" ht="20.25" customHeight="1" x14ac:dyDescent="0.25">
      <c r="A38" s="896" t="s">
        <v>51</v>
      </c>
      <c r="B38" s="896"/>
      <c r="C38" s="896"/>
      <c r="D38" s="896"/>
      <c r="E38" s="896"/>
      <c r="F38" s="767" t="s">
        <v>52</v>
      </c>
      <c r="G38" s="40"/>
      <c r="H38" s="744"/>
      <c r="I38" s="41"/>
      <c r="J38" s="131">
        <f>SUM(J36:J37)</f>
        <v>20330.16</v>
      </c>
      <c r="K38" s="39"/>
      <c r="L38" s="757"/>
      <c r="M38" s="757"/>
      <c r="N38" s="757"/>
      <c r="O38" s="31"/>
      <c r="P38" s="772"/>
      <c r="Q38" s="772"/>
      <c r="R38" s="860" t="s">
        <v>51</v>
      </c>
      <c r="S38" s="860"/>
      <c r="T38" s="860"/>
      <c r="U38" s="762" t="s">
        <v>52</v>
      </c>
      <c r="V38" s="175"/>
      <c r="W38" s="746"/>
      <c r="X38" s="176"/>
      <c r="Y38" s="157">
        <f>Y36+Y37</f>
        <v>4412.2699999999995</v>
      </c>
    </row>
    <row r="39" spans="1:25" ht="20.25" customHeight="1" x14ac:dyDescent="0.25">
      <c r="B39" s="753"/>
      <c r="C39" s="753"/>
      <c r="D39" s="753"/>
      <c r="E39" s="753"/>
      <c r="F39" s="767"/>
      <c r="G39" s="40"/>
      <c r="H39" s="744"/>
      <c r="I39" s="41"/>
      <c r="J39" s="43"/>
      <c r="K39" s="39"/>
      <c r="L39" s="757"/>
      <c r="M39" s="757"/>
      <c r="N39" s="757"/>
      <c r="O39" s="31"/>
      <c r="P39" s="772"/>
      <c r="Q39" s="772"/>
      <c r="R39" s="741"/>
      <c r="S39" s="741"/>
      <c r="T39" s="741"/>
      <c r="U39" s="762"/>
      <c r="V39" s="175"/>
      <c r="W39" s="746"/>
      <c r="X39" s="176"/>
      <c r="Y39" s="178"/>
    </row>
    <row r="40" spans="1:25" ht="45.75" customHeight="1" x14ac:dyDescent="0.25">
      <c r="A40" s="955" t="s">
        <v>53</v>
      </c>
      <c r="B40" s="955"/>
      <c r="C40" s="117" t="s">
        <v>159</v>
      </c>
      <c r="D40" s="117" t="s">
        <v>160</v>
      </c>
      <c r="E40" s="956" t="s">
        <v>158</v>
      </c>
      <c r="F40" s="956"/>
      <c r="G40" s="44" t="s">
        <v>55</v>
      </c>
      <c r="H40" s="771" t="s">
        <v>56</v>
      </c>
      <c r="I40" s="700" t="s">
        <v>57</v>
      </c>
      <c r="J40" s="44"/>
      <c r="K40" s="39"/>
      <c r="L40" s="757"/>
      <c r="M40" s="757"/>
      <c r="N40" s="757"/>
      <c r="O40" s="31"/>
      <c r="P40" s="772"/>
      <c r="Q40" s="772"/>
      <c r="R40" s="899" t="s">
        <v>53</v>
      </c>
      <c r="S40" s="899"/>
      <c r="T40" s="900" t="s">
        <v>54</v>
      </c>
      <c r="U40" s="900"/>
      <c r="V40" s="179" t="s">
        <v>55</v>
      </c>
      <c r="W40" s="765" t="s">
        <v>56</v>
      </c>
      <c r="X40" s="181" t="s">
        <v>57</v>
      </c>
      <c r="Y40" s="179"/>
    </row>
    <row r="41" spans="1:25" ht="17.25" customHeight="1" x14ac:dyDescent="0.25">
      <c r="A41" s="957" t="s">
        <v>58</v>
      </c>
      <c r="B41" s="957"/>
      <c r="C41" s="415">
        <v>0</v>
      </c>
      <c r="D41" s="415">
        <v>0</v>
      </c>
      <c r="E41" s="952">
        <f t="shared" ref="E41:E49" si="7">IF($D$50=0,C41*2,C41+D41)</f>
        <v>0</v>
      </c>
      <c r="F41" s="952"/>
      <c r="G41" s="744" t="s">
        <v>59</v>
      </c>
      <c r="H41" s="744">
        <v>251</v>
      </c>
      <c r="I41" s="136">
        <f>INDEX('[1]111-112-113 ADDITIONAL FUND'!D$1:D$65536,MATCH($A$1,'[1]111-112-113 ADDITIONAL FUND'!A$1:A$65536))</f>
        <v>1047</v>
      </c>
      <c r="J41" s="46">
        <f t="shared" ref="J41:J49" si="8">ROUND(E41*I41,2)</f>
        <v>0</v>
      </c>
      <c r="L41" s="3"/>
      <c r="M41" s="2"/>
      <c r="Q41" s="4"/>
      <c r="R41" s="901" t="s">
        <v>163</v>
      </c>
      <c r="S41" s="901"/>
      <c r="T41" s="865"/>
      <c r="U41" s="865"/>
      <c r="V41" s="746" t="s">
        <v>59</v>
      </c>
      <c r="W41" s="746">
        <v>251</v>
      </c>
      <c r="X41" s="134">
        <f t="shared" ref="X41:X49" si="9">I41</f>
        <v>1047</v>
      </c>
      <c r="Y41" s="269">
        <f>ROUND(T41*X41,2)</f>
        <v>0</v>
      </c>
    </row>
    <row r="42" spans="1:25" x14ac:dyDescent="0.25">
      <c r="A42" s="958"/>
      <c r="B42" s="958"/>
      <c r="C42" s="415">
        <v>0</v>
      </c>
      <c r="D42" s="415">
        <v>0</v>
      </c>
      <c r="E42" s="952">
        <f t="shared" si="7"/>
        <v>0</v>
      </c>
      <c r="F42" s="952"/>
      <c r="G42" s="744" t="s">
        <v>59</v>
      </c>
      <c r="H42" s="744">
        <v>252</v>
      </c>
      <c r="I42" s="136">
        <f>INDEX('[1]111-112-113 ADDITIONAL FUND'!E$1:E$65536,MATCH($A$1,'[1]111-112-113 ADDITIONAL FUND'!A$1:A$65536))</f>
        <v>3380</v>
      </c>
      <c r="J42" s="46">
        <f t="shared" si="8"/>
        <v>0</v>
      </c>
      <c r="M42" s="2"/>
      <c r="R42" s="901"/>
      <c r="S42" s="901"/>
      <c r="T42" s="902"/>
      <c r="U42" s="902"/>
      <c r="V42" s="746" t="s">
        <v>59</v>
      </c>
      <c r="W42" s="746">
        <v>252</v>
      </c>
      <c r="X42" s="134">
        <f t="shared" si="9"/>
        <v>3380</v>
      </c>
      <c r="Y42" s="269">
        <f t="shared" ref="Y42:Y49" si="10">ROUND(T42*X42,2)</f>
        <v>0</v>
      </c>
    </row>
    <row r="43" spans="1:25" x14ac:dyDescent="0.25">
      <c r="A43" s="958"/>
      <c r="B43" s="958"/>
      <c r="C43" s="415">
        <v>0</v>
      </c>
      <c r="D43" s="415">
        <v>0</v>
      </c>
      <c r="E43" s="952">
        <f t="shared" si="7"/>
        <v>0</v>
      </c>
      <c r="F43" s="952"/>
      <c r="G43" s="744" t="s">
        <v>59</v>
      </c>
      <c r="H43" s="744">
        <v>253</v>
      </c>
      <c r="I43" s="136">
        <f>INDEX('[1]111-112-113 ADDITIONAL FUND'!F$1:F$65536,MATCH($A$1,'[1]111-112-113 ADDITIONAL FUND'!A$1:A$65536))</f>
        <v>6896</v>
      </c>
      <c r="J43" s="46">
        <f t="shared" si="8"/>
        <v>0</v>
      </c>
      <c r="M43" s="2"/>
      <c r="R43" s="901"/>
      <c r="S43" s="901"/>
      <c r="T43" s="903"/>
      <c r="U43" s="903"/>
      <c r="V43" s="746" t="s">
        <v>59</v>
      </c>
      <c r="W43" s="746">
        <v>253</v>
      </c>
      <c r="X43" s="134">
        <f t="shared" si="9"/>
        <v>6896</v>
      </c>
      <c r="Y43" s="269">
        <f t="shared" si="10"/>
        <v>0</v>
      </c>
    </row>
    <row r="44" spans="1:25" ht="20.25" customHeight="1" x14ac:dyDescent="0.25">
      <c r="A44" s="958"/>
      <c r="B44" s="958"/>
      <c r="C44" s="415">
        <v>0</v>
      </c>
      <c r="D44" s="415">
        <v>0</v>
      </c>
      <c r="E44" s="952">
        <f t="shared" si="7"/>
        <v>0</v>
      </c>
      <c r="F44" s="952"/>
      <c r="G44" s="47" t="s">
        <v>60</v>
      </c>
      <c r="H44" s="744">
        <v>251</v>
      </c>
      <c r="I44" s="136">
        <f>INDEX('[1]111-112-113 ADDITIONAL FUND'!G$1:G$65536,MATCH($A$1,'[1]111-112-113 ADDITIONAL FUND'!A$1:A$65536))</f>
        <v>1173</v>
      </c>
      <c r="J44" s="137">
        <f t="shared" si="8"/>
        <v>0</v>
      </c>
      <c r="L44" s="3"/>
      <c r="M44" s="2"/>
      <c r="Q44" s="4"/>
      <c r="R44" s="901"/>
      <c r="S44" s="901"/>
      <c r="T44" s="903"/>
      <c r="U44" s="903"/>
      <c r="V44" s="182" t="s">
        <v>60</v>
      </c>
      <c r="W44" s="746">
        <v>251</v>
      </c>
      <c r="X44" s="134">
        <f t="shared" si="9"/>
        <v>1173</v>
      </c>
      <c r="Y44" s="269">
        <f t="shared" si="10"/>
        <v>0</v>
      </c>
    </row>
    <row r="45" spans="1:25" x14ac:dyDescent="0.25">
      <c r="A45" s="958"/>
      <c r="B45" s="958"/>
      <c r="C45" s="415">
        <v>0</v>
      </c>
      <c r="D45" s="415">
        <v>0</v>
      </c>
      <c r="E45" s="952">
        <f t="shared" si="7"/>
        <v>0</v>
      </c>
      <c r="F45" s="952"/>
      <c r="G45" s="47" t="s">
        <v>60</v>
      </c>
      <c r="H45" s="744">
        <v>252</v>
      </c>
      <c r="I45" s="136">
        <f>INDEX('[1]111-112-113 ADDITIONAL FUND'!H$1:H$65536,MATCH($A$1,'[1]111-112-113 ADDITIONAL FUND'!A$1:A$65536))</f>
        <v>3506</v>
      </c>
      <c r="J45" s="46">
        <f t="shared" si="8"/>
        <v>0</v>
      </c>
      <c r="M45" s="2"/>
      <c r="R45" s="901"/>
      <c r="S45" s="901"/>
      <c r="T45" s="903"/>
      <c r="U45" s="903"/>
      <c r="V45" s="182" t="s">
        <v>60</v>
      </c>
      <c r="W45" s="746">
        <v>252</v>
      </c>
      <c r="X45" s="134">
        <f t="shared" si="9"/>
        <v>3506</v>
      </c>
      <c r="Y45" s="269">
        <f t="shared" si="10"/>
        <v>0</v>
      </c>
    </row>
    <row r="46" spans="1:25" x14ac:dyDescent="0.25">
      <c r="A46" s="958"/>
      <c r="B46" s="958"/>
      <c r="C46" s="415">
        <v>0</v>
      </c>
      <c r="D46" s="415">
        <v>0</v>
      </c>
      <c r="E46" s="952">
        <f t="shared" si="7"/>
        <v>0</v>
      </c>
      <c r="F46" s="952"/>
      <c r="G46" s="47" t="s">
        <v>60</v>
      </c>
      <c r="H46" s="744">
        <v>253</v>
      </c>
      <c r="I46" s="136">
        <f>INDEX('[1]111-112-113 ADDITIONAL FUND'!I$1:I$65536,MATCH($A$1,'[1]111-112-113 ADDITIONAL FUND'!A$1:A$65536))</f>
        <v>7023</v>
      </c>
      <c r="J46" s="46">
        <f t="shared" si="8"/>
        <v>0</v>
      </c>
      <c r="M46" s="2"/>
      <c r="R46" s="901"/>
      <c r="S46" s="901"/>
      <c r="T46" s="903"/>
      <c r="U46" s="903"/>
      <c r="V46" s="182" t="s">
        <v>60</v>
      </c>
      <c r="W46" s="746">
        <v>253</v>
      </c>
      <c r="X46" s="134">
        <f t="shared" si="9"/>
        <v>7023</v>
      </c>
      <c r="Y46" s="269">
        <f t="shared" si="10"/>
        <v>0</v>
      </c>
    </row>
    <row r="47" spans="1:25" ht="16.5" customHeight="1" x14ac:dyDescent="0.25">
      <c r="A47" s="958"/>
      <c r="B47" s="958"/>
      <c r="C47" s="415">
        <v>0</v>
      </c>
      <c r="D47" s="415">
        <v>0</v>
      </c>
      <c r="E47" s="952">
        <f t="shared" si="7"/>
        <v>0</v>
      </c>
      <c r="F47" s="952"/>
      <c r="G47" s="47" t="s">
        <v>61</v>
      </c>
      <c r="H47" s="744">
        <v>251</v>
      </c>
      <c r="I47" s="136">
        <f>INDEX('[1]111-112-113 ADDITIONAL FUND'!J$1:J$65536,MATCH($A$1,'[1]111-112-113 ADDITIONAL FUND'!A$1:A$65536))</f>
        <v>835</v>
      </c>
      <c r="J47" s="46">
        <f t="shared" si="8"/>
        <v>0</v>
      </c>
      <c r="M47" s="2"/>
      <c r="R47" s="901"/>
      <c r="S47" s="901"/>
      <c r="T47" s="903"/>
      <c r="U47" s="903"/>
      <c r="V47" s="182" t="s">
        <v>61</v>
      </c>
      <c r="W47" s="746">
        <v>251</v>
      </c>
      <c r="X47" s="134">
        <f t="shared" si="9"/>
        <v>835</v>
      </c>
      <c r="Y47" s="269">
        <f t="shared" si="10"/>
        <v>0</v>
      </c>
    </row>
    <row r="48" spans="1:25" ht="15.75" customHeight="1" x14ac:dyDescent="0.25">
      <c r="A48" s="958"/>
      <c r="B48" s="958"/>
      <c r="C48" s="415">
        <v>0</v>
      </c>
      <c r="D48" s="415">
        <v>0</v>
      </c>
      <c r="E48" s="952">
        <f t="shared" si="7"/>
        <v>0</v>
      </c>
      <c r="F48" s="952"/>
      <c r="G48" s="47" t="s">
        <v>61</v>
      </c>
      <c r="H48" s="744">
        <v>252</v>
      </c>
      <c r="I48" s="136">
        <f>INDEX('[1]111-112-113 ADDITIONAL FUND'!K$1:K$65536,MATCH($A$1,'[1]111-112-113 ADDITIONAL FUND'!A$1:A$65536))</f>
        <v>3168</v>
      </c>
      <c r="J48" s="46">
        <f t="shared" si="8"/>
        <v>0</v>
      </c>
      <c r="M48" s="2"/>
      <c r="R48" s="901"/>
      <c r="S48" s="901"/>
      <c r="T48" s="903"/>
      <c r="U48" s="903"/>
      <c r="V48" s="182" t="s">
        <v>61</v>
      </c>
      <c r="W48" s="746">
        <v>252</v>
      </c>
      <c r="X48" s="134">
        <f t="shared" si="9"/>
        <v>3168</v>
      </c>
      <c r="Y48" s="269">
        <f t="shared" si="10"/>
        <v>0</v>
      </c>
    </row>
    <row r="49" spans="1:25" ht="15.75" customHeight="1" thickBot="1" x14ac:dyDescent="0.3">
      <c r="A49" s="958"/>
      <c r="B49" s="958"/>
      <c r="C49" s="415">
        <v>0</v>
      </c>
      <c r="D49" s="415">
        <v>0</v>
      </c>
      <c r="E49" s="953">
        <f t="shared" si="7"/>
        <v>0</v>
      </c>
      <c r="F49" s="953"/>
      <c r="G49" s="47" t="s">
        <v>61</v>
      </c>
      <c r="H49" s="744">
        <v>253</v>
      </c>
      <c r="I49" s="136">
        <f>INDEX('[1]111-112-113 ADDITIONAL FUND'!L$1:L$65536,MATCH($A$1,'[1]111-112-113 ADDITIONAL FUND'!A$1:A$65536))</f>
        <v>6685</v>
      </c>
      <c r="J49" s="46">
        <f t="shared" si="8"/>
        <v>0</v>
      </c>
      <c r="M49" s="2"/>
      <c r="R49" s="901"/>
      <c r="S49" s="901"/>
      <c r="T49" s="911"/>
      <c r="U49" s="911"/>
      <c r="V49" s="182" t="s">
        <v>61</v>
      </c>
      <c r="W49" s="746">
        <v>253</v>
      </c>
      <c r="X49" s="134">
        <f t="shared" si="9"/>
        <v>6685</v>
      </c>
      <c r="Y49" s="269">
        <f t="shared" si="10"/>
        <v>0</v>
      </c>
    </row>
    <row r="50" spans="1:25" ht="15.75" customHeight="1" thickBot="1" x14ac:dyDescent="0.3">
      <c r="A50" s="910" t="s">
        <v>62</v>
      </c>
      <c r="B50" s="910"/>
      <c r="C50" s="757">
        <f>SUM(C41:C49)</f>
        <v>0</v>
      </c>
      <c r="D50" s="757">
        <f>SUM(D41:D49)</f>
        <v>0</v>
      </c>
      <c r="E50" s="954">
        <f>SUM(E41:E49)</f>
        <v>0</v>
      </c>
      <c r="F50" s="954"/>
      <c r="G50" s="910" t="s">
        <v>63</v>
      </c>
      <c r="H50" s="910"/>
      <c r="I50" s="910"/>
      <c r="J50" s="276">
        <f>SUM(J41:J49)</f>
        <v>0</v>
      </c>
      <c r="M50" s="2"/>
      <c r="R50" s="909" t="s">
        <v>62</v>
      </c>
      <c r="S50" s="909"/>
      <c r="T50" s="912">
        <f>SUM(T42:T49)</f>
        <v>0</v>
      </c>
      <c r="U50" s="912"/>
      <c r="V50" s="909" t="s">
        <v>63</v>
      </c>
      <c r="W50" s="909"/>
      <c r="X50" s="909"/>
      <c r="Y50" s="270">
        <f>SUM(Y41:Y49)</f>
        <v>0</v>
      </c>
    </row>
    <row r="51" spans="1:25" ht="15.75" customHeight="1" x14ac:dyDescent="0.25">
      <c r="A51" s="757"/>
      <c r="B51" s="757"/>
      <c r="C51" s="757"/>
      <c r="D51" s="757"/>
      <c r="E51" s="772"/>
      <c r="F51" s="772"/>
      <c r="G51" s="757"/>
      <c r="H51" s="757"/>
      <c r="I51" s="757"/>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48">
        <f>E28</f>
        <v>52</v>
      </c>
      <c r="D53" s="49" t="s">
        <v>66</v>
      </c>
      <c r="G53" s="3"/>
      <c r="H53" s="50" t="s">
        <v>67</v>
      </c>
      <c r="I53" s="702">
        <f>INDEX('[1]Detail 2025-26 FEFP Second'!E$1:E$65536,MATCH(A1,'[1]Detail 2025-26 FEFP Second'!A$1:A$65536))</f>
        <v>215320.92</v>
      </c>
      <c r="J53" s="704"/>
      <c r="M53" s="2"/>
      <c r="R53" s="759"/>
      <c r="S53" s="739"/>
      <c r="T53" s="170"/>
      <c r="U53" s="170"/>
      <c r="V53" s="170"/>
      <c r="W53" s="189" t="s">
        <v>68</v>
      </c>
      <c r="X53" s="918">
        <f>ROUND(T52/X52,6)</f>
        <v>0</v>
      </c>
      <c r="Y53" s="918"/>
    </row>
    <row r="54" spans="1:25" ht="22.5" customHeight="1" x14ac:dyDescent="0.25">
      <c r="A54" s="754"/>
      <c r="B54" s="740"/>
      <c r="C54" s="740"/>
      <c r="D54" s="740"/>
      <c r="H54" s="53" t="s">
        <v>68</v>
      </c>
      <c r="I54" s="943">
        <f>IFERROR(ROUND(C53/I53,6),0)</f>
        <v>2.41E-4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C56</f>
        <v>50.683999999999997</v>
      </c>
      <c r="U55" s="184" t="s">
        <v>66</v>
      </c>
      <c r="V55" s="185"/>
      <c r="W55" s="186" t="s">
        <v>71</v>
      </c>
      <c r="X55" s="917">
        <f>I56</f>
        <v>229051.25000000003</v>
      </c>
      <c r="Y55" s="917"/>
    </row>
    <row r="56" spans="1:25" ht="16.5" customHeight="1" x14ac:dyDescent="0.25">
      <c r="A56" s="897" t="s">
        <v>70</v>
      </c>
      <c r="B56" s="897"/>
      <c r="C56" s="48">
        <f>G33</f>
        <v>50.683999999999997</v>
      </c>
      <c r="D56" s="49" t="s">
        <v>66</v>
      </c>
      <c r="G56" s="3"/>
      <c r="H56" s="50" t="s">
        <v>71</v>
      </c>
      <c r="I56" s="702">
        <f>INDEX('[1]Detail 2025-26 FEFP Second'!F$1:F$65536,MATCH(A1,'[1]Detail 2025-26 FEFP Second'!A$1:A$65536))</f>
        <v>229051.25000000003</v>
      </c>
      <c r="J56" s="704"/>
      <c r="M56" s="2"/>
      <c r="R56" s="759"/>
      <c r="S56" s="170"/>
      <c r="T56" s="170"/>
      <c r="U56" s="170"/>
      <c r="V56" s="170"/>
      <c r="W56" s="189" t="s">
        <v>68</v>
      </c>
      <c r="X56" s="918">
        <f>ROUND(T55/X55,6)</f>
        <v>2.2100000000000001E-4</v>
      </c>
      <c r="Y56" s="918"/>
    </row>
    <row r="57" spans="1:25" ht="18.75" customHeight="1" x14ac:dyDescent="0.25">
      <c r="A57" s="754"/>
      <c r="H57" s="53" t="s">
        <v>68</v>
      </c>
      <c r="I57" s="943">
        <f>IFERROR(ROUND(C56/I56,6),0)</f>
        <v>2.2100000000000001E-4</v>
      </c>
      <c r="J57" s="943"/>
      <c r="M57" s="2"/>
      <c r="P57" s="753"/>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48">
        <f>E28</f>
        <v>52</v>
      </c>
      <c r="D59" s="49" t="s">
        <v>66</v>
      </c>
      <c r="F59" s="967" t="s">
        <v>74</v>
      </c>
      <c r="G59" s="967"/>
      <c r="H59" s="967"/>
      <c r="I59" s="702">
        <f>INDEX('[1]Detail 2025-26 FEFP Second'!H$1:H$65536,MATCH(A1,'[1]Detail 2025-26 FEFP Second'!A$1:A$65536))</f>
        <v>186156.17</v>
      </c>
      <c r="J59" s="704"/>
      <c r="M59" s="2"/>
      <c r="R59" s="759"/>
      <c r="S59" s="170"/>
      <c r="T59" s="170"/>
      <c r="U59" s="170"/>
      <c r="V59" s="170"/>
      <c r="W59" s="189" t="s">
        <v>68</v>
      </c>
      <c r="X59" s="918">
        <f>ROUND(T58/X58,6)</f>
        <v>0</v>
      </c>
      <c r="Y59" s="918"/>
    </row>
    <row r="60" spans="1:25" ht="18" customHeight="1" x14ac:dyDescent="0.25">
      <c r="A60" s="754"/>
      <c r="H60" s="53" t="s">
        <v>68</v>
      </c>
      <c r="I60" s="943">
        <f>IFERROR(ROUND(C59/I59,6),0)</f>
        <v>2.7900000000000001E-4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23.25" customHeight="1" x14ac:dyDescent="0.25">
      <c r="A62" s="897" t="s">
        <v>73</v>
      </c>
      <c r="B62" s="897"/>
      <c r="C62" s="48">
        <f>E28</f>
        <v>52</v>
      </c>
      <c r="D62" s="49" t="s">
        <v>66</v>
      </c>
      <c r="F62" s="967" t="s">
        <v>76</v>
      </c>
      <c r="G62" s="967"/>
      <c r="H62" s="967"/>
      <c r="I62" s="702">
        <f>INDEX('[1]Detail 2025-26 FEFP Second'!G$1:G$65536,MATCH(A1,'[1]Detail 2025-26 FEFP Second'!A$1:A$65536))</f>
        <v>215016.58000000002</v>
      </c>
      <c r="J62" s="704"/>
      <c r="M62" s="2"/>
      <c r="R62" s="759"/>
      <c r="S62" s="170"/>
      <c r="T62" s="170"/>
      <c r="U62" s="170"/>
      <c r="V62" s="170"/>
      <c r="W62" s="189" t="s">
        <v>68</v>
      </c>
      <c r="X62" s="918">
        <f>ROUND(T61/X61,6)</f>
        <v>0</v>
      </c>
      <c r="Y62" s="918"/>
    </row>
    <row r="63" spans="1:25" ht="19.5" customHeight="1" x14ac:dyDescent="0.25">
      <c r="A63" s="754"/>
      <c r="H63" s="53" t="s">
        <v>68</v>
      </c>
      <c r="I63" s="943">
        <f>IFERROR(ROUND(C62/I62,6),0)</f>
        <v>2.42E-4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22.5" customHeight="1" x14ac:dyDescent="0.25">
      <c r="A65" s="897" t="s">
        <v>73</v>
      </c>
      <c r="B65" s="897"/>
      <c r="C65" s="48">
        <f>E28</f>
        <v>52</v>
      </c>
      <c r="D65" s="988" t="s">
        <v>552</v>
      </c>
      <c r="E65" s="988"/>
      <c r="F65" s="988"/>
      <c r="G65" s="988"/>
      <c r="H65" s="988"/>
      <c r="I65" s="702">
        <f>INDEX('[1]Detail 2025-26 FEFP Second'!I$1:I$65536,MATCH(A1,'[1]Detail 2025-26 FEFP Second'!A$1:A$65536))</f>
        <v>185851.83000000002</v>
      </c>
      <c r="J65" s="704"/>
      <c r="M65" s="2"/>
      <c r="R65" s="190"/>
      <c r="S65" s="170"/>
      <c r="T65" s="170"/>
      <c r="U65" s="170"/>
      <c r="V65" s="170"/>
      <c r="W65" s="189" t="s">
        <v>68</v>
      </c>
      <c r="X65" s="918">
        <f>ROUND(T64/X64,6)</f>
        <v>0</v>
      </c>
      <c r="Y65" s="918"/>
    </row>
    <row r="66" spans="1:26" ht="19.5" customHeight="1" x14ac:dyDescent="0.25">
      <c r="A66" s="754"/>
      <c r="H66" s="53" t="s">
        <v>68</v>
      </c>
      <c r="I66" s="943">
        <f>IFERROR(ROUND(C65/I65,6),0)</f>
        <v>2.7999999999999998E-4</v>
      </c>
      <c r="J66" s="943"/>
      <c r="M66" s="2"/>
      <c r="R66" s="759"/>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762"/>
      <c r="V67" s="193">
        <f>G68</f>
        <v>47290747</v>
      </c>
      <c r="W67" s="746" t="s">
        <v>81</v>
      </c>
      <c r="X67" s="176">
        <f>X62</f>
        <v>0</v>
      </c>
      <c r="Y67" s="271">
        <f>ROUND(V67*X67,2)</f>
        <v>0</v>
      </c>
    </row>
    <row r="68" spans="1:26" ht="30.75" customHeight="1" x14ac:dyDescent="0.25">
      <c r="A68" s="944" t="s">
        <v>79</v>
      </c>
      <c r="B68" s="944"/>
      <c r="C68" s="944"/>
      <c r="D68" s="944"/>
      <c r="E68" s="944"/>
      <c r="F68" s="767" t="s">
        <v>80</v>
      </c>
      <c r="G68" s="277">
        <f>INDEX('[1]Detail 2025-26 FEFP Second'!N$1:N$65536,MATCH(A1,'[1]Detail 2025-26 FEFP Second'!A$1:A$65536))</f>
        <v>47290747</v>
      </c>
      <c r="H68" s="744" t="s">
        <v>81</v>
      </c>
      <c r="I68" s="41">
        <f>I63</f>
        <v>2.42E-4</v>
      </c>
      <c r="J68" s="138">
        <f>ROUND(G68*I68,2)</f>
        <v>11444.36</v>
      </c>
      <c r="M68" s="2"/>
      <c r="R68" s="898" t="s">
        <v>82</v>
      </c>
      <c r="S68" s="898"/>
      <c r="T68" s="741"/>
      <c r="U68" s="762"/>
      <c r="V68" s="194"/>
      <c r="W68" s="746"/>
      <c r="X68" s="176"/>
      <c r="Y68" s="271"/>
    </row>
    <row r="69" spans="1:26" ht="30.75" customHeight="1" x14ac:dyDescent="0.25">
      <c r="A69" s="945" t="s">
        <v>82</v>
      </c>
      <c r="B69" s="945"/>
      <c r="C69" s="769"/>
      <c r="D69" s="769"/>
      <c r="E69" s="753"/>
      <c r="F69" s="767"/>
      <c r="G69" s="63"/>
      <c r="H69" s="744"/>
      <c r="I69" s="41"/>
      <c r="J69" s="62"/>
      <c r="M69" s="2"/>
      <c r="R69" s="921" t="s">
        <v>166</v>
      </c>
      <c r="S69" s="915"/>
      <c r="T69" s="915"/>
      <c r="U69" s="762"/>
      <c r="V69" s="195">
        <f>G70</f>
        <v>0</v>
      </c>
      <c r="W69" s="746" t="s">
        <v>81</v>
      </c>
      <c r="X69" s="176">
        <f>X53</f>
        <v>0</v>
      </c>
      <c r="Y69" s="266">
        <f t="shared" ref="Y69:Y71" si="11">ROUND(V69*X69,2)</f>
        <v>0</v>
      </c>
    </row>
    <row r="70" spans="1:26" ht="17.25" customHeight="1" x14ac:dyDescent="0.25">
      <c r="A70" s="946" t="s">
        <v>83</v>
      </c>
      <c r="B70" s="946"/>
      <c r="C70" s="946"/>
      <c r="D70" s="946"/>
      <c r="E70" s="946"/>
      <c r="F70" s="767" t="s">
        <v>84</v>
      </c>
      <c r="G70" s="277">
        <f>INDEX('[1]Detail 2025-26 FEFP Second'!L$1:L$65536,MATCH(A1,'[1]Detail 2025-26 FEFP Second'!A$1:A$65536))</f>
        <v>0</v>
      </c>
      <c r="H70" s="744" t="s">
        <v>81</v>
      </c>
      <c r="I70" s="41">
        <f>I54</f>
        <v>2.41E-4</v>
      </c>
      <c r="J70" s="138">
        <f>ROUND(G70*I70,2)</f>
        <v>0</v>
      </c>
      <c r="M70" s="2"/>
      <c r="R70" s="860" t="s">
        <v>167</v>
      </c>
      <c r="S70" s="860"/>
      <c r="T70" s="860"/>
      <c r="U70" s="762"/>
      <c r="V70" s="193">
        <f>G71</f>
        <v>19167881</v>
      </c>
      <c r="W70" s="746" t="s">
        <v>81</v>
      </c>
      <c r="X70" s="176">
        <f>X65</f>
        <v>0</v>
      </c>
      <c r="Y70" s="266">
        <f t="shared" si="11"/>
        <v>0</v>
      </c>
    </row>
    <row r="71" spans="1:26" ht="19.5" customHeight="1" x14ac:dyDescent="0.25">
      <c r="A71" s="896" t="s">
        <v>85</v>
      </c>
      <c r="B71" s="896"/>
      <c r="C71" s="896"/>
      <c r="D71" s="896"/>
      <c r="E71" s="896"/>
      <c r="F71" s="767" t="s">
        <v>86</v>
      </c>
      <c r="G71" s="277">
        <f>INDEX('[1]Detail 2025-26 FEFP Second'!M$1:M$65536,MATCH(A1,'[1]Detail 2025-26 FEFP Second'!A$1:A$65536))</f>
        <v>19167881</v>
      </c>
      <c r="H71" s="744" t="s">
        <v>81</v>
      </c>
      <c r="I71" s="41">
        <f>I66</f>
        <v>2.7999999999999998E-4</v>
      </c>
      <c r="J71" s="138">
        <f>ROUND(G71*I71,2)</f>
        <v>5367.01</v>
      </c>
      <c r="M71" s="2"/>
      <c r="R71" s="741" t="s">
        <v>168</v>
      </c>
      <c r="S71" s="741"/>
      <c r="T71" s="741"/>
      <c r="U71" s="762"/>
      <c r="V71" s="171">
        <f>G72</f>
        <v>11546889</v>
      </c>
      <c r="W71" s="746" t="s">
        <v>81</v>
      </c>
      <c r="X71" s="176">
        <f>X59</f>
        <v>0</v>
      </c>
      <c r="Y71" s="266">
        <f t="shared" si="11"/>
        <v>0</v>
      </c>
    </row>
    <row r="72" spans="1:26" ht="19.5" customHeight="1" x14ac:dyDescent="0.25">
      <c r="A72" s="753" t="s">
        <v>87</v>
      </c>
      <c r="B72" s="753"/>
      <c r="C72" s="753"/>
      <c r="D72" s="753"/>
      <c r="E72" s="753"/>
      <c r="F72" s="767" t="s">
        <v>88</v>
      </c>
      <c r="G72" s="277">
        <f>INDEX('[1]Detail 2025-26 FEFP Second'!T$1:T$65536,MATCH(A1,'[1]Detail 2025-26 FEFP Second'!A$1:A$65536))</f>
        <v>11546889</v>
      </c>
      <c r="H72" s="744" t="s">
        <v>81</v>
      </c>
      <c r="I72" s="41">
        <f>I60</f>
        <v>2.7900000000000001E-4</v>
      </c>
      <c r="J72" s="138">
        <f>ROUND(G72*I72,2)</f>
        <v>3221.58</v>
      </c>
      <c r="M72" s="2"/>
      <c r="R72" s="741" t="s">
        <v>169</v>
      </c>
      <c r="S72" s="741"/>
      <c r="T72" s="741"/>
      <c r="U72" s="762"/>
      <c r="V72" s="196"/>
      <c r="W72" s="746"/>
      <c r="X72" s="176"/>
      <c r="Y72" s="178"/>
    </row>
    <row r="73" spans="1:26" ht="24.75" customHeight="1" x14ac:dyDescent="0.25">
      <c r="A73" s="753" t="s">
        <v>89</v>
      </c>
      <c r="B73" s="753"/>
      <c r="C73" s="753"/>
      <c r="D73" s="753"/>
      <c r="E73" s="753"/>
      <c r="F73" s="767" t="s">
        <v>90</v>
      </c>
      <c r="G73" s="64"/>
      <c r="H73" s="744"/>
      <c r="I73" s="41"/>
      <c r="J73" s="30"/>
      <c r="M73" s="2"/>
      <c r="R73" s="851" t="s">
        <v>91</v>
      </c>
      <c r="S73" s="851"/>
      <c r="T73" s="852" t="s">
        <v>170</v>
      </c>
      <c r="U73" s="853"/>
      <c r="V73" s="853"/>
      <c r="W73" s="853"/>
      <c r="X73" s="853"/>
      <c r="Y73" s="153"/>
    </row>
    <row r="74" spans="1:26" ht="63" customHeight="1" x14ac:dyDescent="0.25">
      <c r="A74" s="854" t="s">
        <v>91</v>
      </c>
      <c r="B74" s="854"/>
      <c r="C74" s="737"/>
      <c r="D74" s="737"/>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735"/>
      <c r="D75" s="735"/>
      <c r="E75" s="65"/>
      <c r="F75" s="65"/>
      <c r="G75" s="65"/>
      <c r="H75" s="65"/>
      <c r="I75" s="65"/>
      <c r="J75" s="129"/>
      <c r="L75" s="66"/>
      <c r="M75" s="2"/>
      <c r="O75" s="767"/>
      <c r="P75" s="767"/>
      <c r="R75" s="857" t="s">
        <v>94</v>
      </c>
      <c r="S75" s="857"/>
      <c r="T75" s="197"/>
      <c r="U75" s="197"/>
      <c r="V75" s="197"/>
      <c r="W75" s="197"/>
      <c r="X75" s="197"/>
      <c r="Y75" s="197"/>
    </row>
    <row r="76" spans="1:26" ht="18.75" customHeight="1" x14ac:dyDescent="0.25">
      <c r="A76" s="837" t="s">
        <v>94</v>
      </c>
      <c r="B76" s="837"/>
      <c r="C76" s="735"/>
      <c r="D76" s="735"/>
      <c r="E76" s="65"/>
      <c r="F76" s="65"/>
      <c r="G76" s="65"/>
      <c r="H76" s="65"/>
      <c r="I76" s="65"/>
      <c r="J76" s="129"/>
      <c r="L76" s="67"/>
      <c r="M76" s="2"/>
      <c r="O76" s="767"/>
      <c r="P76" s="767"/>
      <c r="R76" s="861" t="s">
        <v>95</v>
      </c>
      <c r="S76" s="861"/>
      <c r="T76" s="198"/>
      <c r="U76" s="198"/>
      <c r="V76" s="198"/>
      <c r="W76" s="198"/>
      <c r="X76" s="198"/>
      <c r="Y76" s="197"/>
    </row>
    <row r="77" spans="1:26" ht="18.75" customHeight="1" x14ac:dyDescent="0.25">
      <c r="A77" s="862" t="s">
        <v>95</v>
      </c>
      <c r="B77" s="862"/>
      <c r="C77" s="742"/>
      <c r="D77" s="742"/>
      <c r="E77" s="68"/>
      <c r="F77" s="68"/>
      <c r="G77" s="68"/>
      <c r="H77" s="68"/>
      <c r="I77" s="68"/>
      <c r="J77" s="128"/>
      <c r="L77" s="67"/>
      <c r="M77" s="2"/>
      <c r="O77" s="767"/>
      <c r="P77" s="767"/>
      <c r="R77" s="738" t="s">
        <v>96</v>
      </c>
      <c r="S77" s="738"/>
      <c r="T77" s="197"/>
      <c r="U77" s="197"/>
      <c r="V77" s="197"/>
      <c r="W77" s="197"/>
      <c r="X77" s="197"/>
      <c r="Y77" s="197"/>
    </row>
    <row r="78" spans="1:26" ht="20.25" customHeight="1" x14ac:dyDescent="0.25">
      <c r="A78" s="735" t="s">
        <v>96</v>
      </c>
      <c r="B78" s="735"/>
      <c r="C78" s="735"/>
      <c r="D78" s="735"/>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735"/>
      <c r="D79" s="735"/>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743"/>
      <c r="D80" s="743"/>
      <c r="E80" s="73"/>
      <c r="F80" s="73"/>
      <c r="G80" s="73"/>
      <c r="H80" s="73"/>
      <c r="I80" s="73"/>
      <c r="J80" s="129"/>
      <c r="K80" s="70"/>
      <c r="L80" s="70"/>
      <c r="M80" s="71"/>
      <c r="N80" s="70"/>
      <c r="O80" s="70"/>
      <c r="P80" s="70"/>
      <c r="Q80" s="70"/>
      <c r="R80" s="756"/>
      <c r="S80" s="756"/>
      <c r="T80" s="756"/>
      <c r="U80" s="756"/>
      <c r="V80" s="164"/>
      <c r="W80" s="755"/>
      <c r="X80" s="755" t="s">
        <v>99</v>
      </c>
      <c r="Y80" s="201">
        <f>SUM(Y74:Y79)</f>
        <v>0</v>
      </c>
      <c r="Z80" s="72"/>
    </row>
    <row r="81" spans="1:26" ht="17.25" customHeight="1" x14ac:dyDescent="0.25">
      <c r="A81" s="757"/>
      <c r="B81" s="757"/>
      <c r="C81" s="757"/>
      <c r="D81" s="757"/>
      <c r="E81" s="757"/>
      <c r="F81" s="757"/>
      <c r="G81" s="31"/>
      <c r="H81" s="772"/>
      <c r="I81" s="772" t="s">
        <v>99</v>
      </c>
      <c r="J81" s="74">
        <f>SUM(J75:J80)</f>
        <v>0</v>
      </c>
      <c r="K81" s="70"/>
      <c r="L81" s="70"/>
      <c r="M81" s="71"/>
      <c r="N81" s="70"/>
      <c r="O81" s="70"/>
      <c r="P81" s="70"/>
      <c r="Q81" s="70"/>
      <c r="R81" s="756"/>
      <c r="S81" s="756"/>
      <c r="T81" s="756"/>
      <c r="U81" s="756"/>
      <c r="V81" s="164"/>
      <c r="W81" s="755"/>
      <c r="X81" s="755" t="s">
        <v>100</v>
      </c>
      <c r="Y81" s="201">
        <f>J82</f>
        <v>11461.43</v>
      </c>
      <c r="Z81" s="72"/>
    </row>
    <row r="82" spans="1:26" ht="18.75" customHeight="1" x14ac:dyDescent="0.25">
      <c r="A82" s="757"/>
      <c r="B82" s="757"/>
      <c r="C82" s="757"/>
      <c r="D82" s="757"/>
      <c r="E82" s="757"/>
      <c r="F82" s="757"/>
      <c r="G82" s="31"/>
      <c r="H82" s="772"/>
      <c r="I82" s="772" t="s">
        <v>100</v>
      </c>
      <c r="J82" s="74">
        <f>INDEX('[1]Detail 2025-26 FEFP Second'!J$1:J$65536,MATCH(A1,'[1]Detail 2025-26 FEFP Second'!A$1:A$65536))</f>
        <v>11461.43</v>
      </c>
      <c r="K82" s="70"/>
      <c r="L82" s="70"/>
      <c r="M82" s="71"/>
      <c r="N82" s="70"/>
      <c r="O82" s="70"/>
      <c r="P82" s="70"/>
      <c r="Q82" s="70"/>
      <c r="R82" s="756"/>
      <c r="S82" s="756"/>
      <c r="T82" s="756"/>
      <c r="U82" s="756"/>
      <c r="V82" s="164"/>
      <c r="W82" s="755"/>
      <c r="X82" s="755"/>
      <c r="Y82" s="202"/>
      <c r="Z82" s="72"/>
    </row>
    <row r="83" spans="1:26" ht="15.75" customHeight="1" x14ac:dyDescent="0.25">
      <c r="A83" s="757"/>
      <c r="B83" s="757"/>
      <c r="C83" s="757"/>
      <c r="D83" s="757"/>
      <c r="E83" s="757"/>
      <c r="F83" s="757"/>
      <c r="G83" s="31"/>
      <c r="H83" s="772"/>
      <c r="I83" s="772"/>
      <c r="J83" s="75"/>
      <c r="K83" s="70"/>
      <c r="L83" s="70"/>
      <c r="M83" s="71"/>
      <c r="N83" s="70"/>
      <c r="O83" s="70"/>
      <c r="P83" s="70"/>
      <c r="Q83" s="70"/>
      <c r="R83" s="858" t="s">
        <v>101</v>
      </c>
      <c r="S83" s="858"/>
      <c r="T83" s="170"/>
      <c r="U83" s="170"/>
      <c r="V83" s="171">
        <f>G84</f>
        <v>63269727</v>
      </c>
      <c r="W83" s="746" t="s">
        <v>81</v>
      </c>
      <c r="X83" s="176">
        <f>IFERROR(ROUND(Y80/Y81,6),0)</f>
        <v>0</v>
      </c>
      <c r="Y83" s="266">
        <f>ROUND(V83*X83,2)</f>
        <v>0</v>
      </c>
      <c r="Z83" s="72"/>
    </row>
    <row r="84" spans="1:26" ht="21" customHeight="1" x14ac:dyDescent="0.25">
      <c r="A84" s="859" t="s">
        <v>101</v>
      </c>
      <c r="B84" s="859"/>
      <c r="C84" s="740"/>
      <c r="D84" s="740"/>
      <c r="G84" s="121">
        <f>INDEX('[1]Detail 2025-26 FEFP Second'!O$1:O$65536,MATCH(A1,'[1]Detail 2025-26 FEFP Second'!A$1:A$65536))</f>
        <v>63269727</v>
      </c>
      <c r="H84" s="744" t="s">
        <v>81</v>
      </c>
      <c r="I84" s="41">
        <f>IFERROR(ROUND(J81/J82,6),0)</f>
        <v>0</v>
      </c>
      <c r="J84" s="62">
        <f>ROUND(G84*I84,2)</f>
        <v>0</v>
      </c>
      <c r="K84" s="70"/>
      <c r="L84" s="70"/>
      <c r="M84" s="71"/>
      <c r="N84" s="70"/>
      <c r="O84" s="70"/>
      <c r="P84" s="70"/>
      <c r="Q84" s="70"/>
      <c r="R84" s="860" t="s">
        <v>171</v>
      </c>
      <c r="S84" s="860"/>
      <c r="T84" s="860"/>
      <c r="U84" s="762"/>
      <c r="V84" s="274"/>
      <c r="W84" s="746"/>
      <c r="X84" s="176"/>
      <c r="Y84" s="266"/>
    </row>
    <row r="85" spans="1:26" ht="17.25" customHeight="1" x14ac:dyDescent="0.25">
      <c r="A85" s="896" t="s">
        <v>102</v>
      </c>
      <c r="B85" s="896"/>
      <c r="C85" s="896"/>
      <c r="D85" s="896"/>
      <c r="E85" s="896"/>
      <c r="F85" s="767" t="s">
        <v>103</v>
      </c>
      <c r="G85" s="121">
        <f>INDEX('[1]Detail 2025-26 FEFP Second'!Q$1:Q$65536,MATCH(A1,'[1]Detail 2025-26 FEFP Second'!A$1:A$65536))</f>
        <v>268816278</v>
      </c>
      <c r="H85" s="744" t="s">
        <v>81</v>
      </c>
      <c r="I85" s="41">
        <f>I57</f>
        <v>2.2100000000000001E-4</v>
      </c>
      <c r="J85" s="138">
        <f>ROUND(G85*I85,2)</f>
        <v>59408.4</v>
      </c>
      <c r="K85" s="70"/>
      <c r="L85" s="70"/>
      <c r="M85" s="71"/>
      <c r="N85" s="70"/>
      <c r="O85" s="70"/>
      <c r="P85" s="70"/>
      <c r="Q85" s="70"/>
      <c r="R85" s="860" t="s">
        <v>172</v>
      </c>
      <c r="S85" s="860"/>
      <c r="T85" s="860"/>
      <c r="U85" s="762"/>
      <c r="V85" s="171">
        <f>G85</f>
        <v>268816278</v>
      </c>
      <c r="W85" s="746" t="s">
        <v>81</v>
      </c>
      <c r="X85" s="176">
        <f>X56</f>
        <v>2.2100000000000001E-4</v>
      </c>
      <c r="Y85" s="266">
        <f t="shared" ref="Y85:Y87" si="12">ROUND(V85*X85,2)</f>
        <v>59408.4</v>
      </c>
    </row>
    <row r="86" spans="1:26" ht="14.25" customHeight="1" x14ac:dyDescent="0.25">
      <c r="A86" s="896" t="s">
        <v>104</v>
      </c>
      <c r="B86" s="896"/>
      <c r="C86" s="896"/>
      <c r="D86" s="896"/>
      <c r="E86" s="896"/>
      <c r="F86" s="767" t="s">
        <v>103</v>
      </c>
      <c r="G86" s="139">
        <v>0</v>
      </c>
      <c r="H86" s="744" t="s">
        <v>81</v>
      </c>
      <c r="I86" s="41">
        <f>I57</f>
        <v>2.2100000000000001E-4</v>
      </c>
      <c r="J86" s="138">
        <f>ROUND(G86*I86,2)</f>
        <v>0</v>
      </c>
      <c r="K86" s="70"/>
      <c r="L86" s="71"/>
      <c r="M86" s="76"/>
      <c r="N86" s="76"/>
      <c r="O86" s="76"/>
      <c r="P86" s="76"/>
      <c r="Q86" s="70"/>
      <c r="R86" s="860" t="s">
        <v>173</v>
      </c>
      <c r="S86" s="860"/>
      <c r="T86" s="860"/>
      <c r="U86" s="762"/>
      <c r="V86" s="203">
        <f>G86</f>
        <v>0</v>
      </c>
      <c r="W86" s="746" t="s">
        <v>81</v>
      </c>
      <c r="X86" s="176">
        <f>X56</f>
        <v>2.2100000000000001E-4</v>
      </c>
      <c r="Y86" s="266">
        <f t="shared" si="12"/>
        <v>0</v>
      </c>
    </row>
    <row r="87" spans="1:26" ht="18" customHeight="1" x14ac:dyDescent="0.25">
      <c r="A87" s="896" t="s">
        <v>105</v>
      </c>
      <c r="B87" s="896"/>
      <c r="C87" s="896"/>
      <c r="D87" s="896"/>
      <c r="E87" s="896"/>
      <c r="F87" s="767" t="s">
        <v>84</v>
      </c>
      <c r="G87" s="139">
        <v>0</v>
      </c>
      <c r="H87" s="744" t="s">
        <v>81</v>
      </c>
      <c r="I87" s="41">
        <f>I54</f>
        <v>2.41E-4</v>
      </c>
      <c r="J87" s="62">
        <f>ROUND(G87*I87,2)</f>
        <v>0</v>
      </c>
      <c r="K87" s="77"/>
      <c r="L87" s="70"/>
      <c r="M87" s="71"/>
      <c r="N87" s="70"/>
      <c r="O87" s="70"/>
      <c r="P87" s="70"/>
      <c r="Q87" s="70"/>
      <c r="R87" s="741" t="s">
        <v>174</v>
      </c>
      <c r="S87" s="741"/>
      <c r="T87" s="741"/>
      <c r="U87" s="762"/>
      <c r="V87" s="203">
        <f>G87</f>
        <v>0</v>
      </c>
      <c r="W87" s="746"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757" t="s">
        <v>110</v>
      </c>
      <c r="B90" s="745">
        <f>I12+I13+I18+I21+I24</f>
        <v>0</v>
      </c>
      <c r="C90" s="745"/>
      <c r="D90" s="867">
        <f>I6</f>
        <v>1.0355000000000001</v>
      </c>
      <c r="E90" s="867"/>
      <c r="F90" s="867"/>
      <c r="G90" s="122">
        <f>'[1]Detail 2025-26 FEFP Second'!AB3</f>
        <v>958.42</v>
      </c>
      <c r="H90" s="47" t="s">
        <v>68</v>
      </c>
      <c r="I90" s="708">
        <f>ROUND(B90*D90*G90,2)</f>
        <v>0</v>
      </c>
      <c r="J90" s="81"/>
      <c r="K90" s="70"/>
      <c r="L90" s="70"/>
      <c r="M90" s="71"/>
      <c r="N90" s="70"/>
      <c r="O90" s="70"/>
      <c r="P90" s="70"/>
      <c r="Q90" s="70"/>
      <c r="R90" s="756" t="s">
        <v>110</v>
      </c>
      <c r="S90" s="760">
        <f>X12+X13+X18+X21+X24</f>
        <v>0</v>
      </c>
      <c r="T90" s="922">
        <f>X6</f>
        <v>1.0355000000000001</v>
      </c>
      <c r="U90" s="922"/>
      <c r="V90" s="122">
        <f>G90</f>
        <v>958.42</v>
      </c>
      <c r="W90" s="182" t="s">
        <v>68</v>
      </c>
      <c r="X90" s="272">
        <f>ROUND(S90*T90*V90,2)</f>
        <v>0</v>
      </c>
      <c r="Y90" s="205"/>
    </row>
    <row r="91" spans="1:26" ht="21" customHeight="1" x14ac:dyDescent="0.25">
      <c r="A91" s="82" t="s">
        <v>60</v>
      </c>
      <c r="B91" s="745">
        <f>I14+I15+I19+I22+I25</f>
        <v>5</v>
      </c>
      <c r="C91" s="745"/>
      <c r="D91" s="867">
        <f>I6</f>
        <v>1.0355000000000001</v>
      </c>
      <c r="E91" s="867"/>
      <c r="F91" s="867"/>
      <c r="G91" s="122">
        <f>'[1]Detail 2025-26 FEFP Second'!AC3</f>
        <v>915.09</v>
      </c>
      <c r="H91" s="47" t="s">
        <v>68</v>
      </c>
      <c r="I91" s="707">
        <f>ROUND(B91*D91*G91,2)</f>
        <v>4737.88</v>
      </c>
      <c r="K91" s="70"/>
      <c r="L91" s="70"/>
      <c r="M91" s="71"/>
      <c r="N91" s="70"/>
      <c r="O91" s="70"/>
      <c r="P91" s="70"/>
      <c r="Q91" s="70"/>
      <c r="R91" s="206" t="s">
        <v>60</v>
      </c>
      <c r="S91" s="760">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45.683999999999997</v>
      </c>
      <c r="C92" s="109"/>
      <c r="D92" s="867">
        <f>I6</f>
        <v>1.0355000000000001</v>
      </c>
      <c r="E92" s="867"/>
      <c r="F92" s="867"/>
      <c r="G92" s="122">
        <f>'[1]Detail 2025-26 FEFP Second'!AD3</f>
        <v>917.3</v>
      </c>
      <c r="H92" s="47" t="s">
        <v>68</v>
      </c>
      <c r="I92" s="575">
        <f>ROUND(B92*D92*G92,2)</f>
        <v>43393.59</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766" t="s">
        <v>111</v>
      </c>
      <c r="B93" s="109">
        <f>SUM(B90:B92)</f>
        <v>50.683999999999997</v>
      </c>
      <c r="C93" s="109"/>
      <c r="D93" s="109"/>
      <c r="E93" s="937" t="s">
        <v>112</v>
      </c>
      <c r="F93" s="937"/>
      <c r="G93" s="937"/>
      <c r="H93" s="937"/>
      <c r="I93" s="937"/>
      <c r="J93" s="127">
        <f>IF(A1=75,0,I92+I91+I90)</f>
        <v>48131.469999999994</v>
      </c>
      <c r="K93" s="70"/>
      <c r="L93" s="70"/>
      <c r="M93" s="71"/>
      <c r="N93" s="70"/>
      <c r="O93" s="70"/>
      <c r="P93" s="70"/>
      <c r="Q93" s="70"/>
      <c r="R93" s="761"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767" t="s">
        <v>115</v>
      </c>
      <c r="G95" s="939"/>
      <c r="H95" s="939"/>
      <c r="I95" s="939"/>
      <c r="J95" s="939"/>
      <c r="K95" s="70"/>
      <c r="L95" s="70"/>
      <c r="M95" s="71"/>
      <c r="N95" s="70"/>
      <c r="O95" s="70"/>
      <c r="P95" s="70"/>
      <c r="Q95" s="70"/>
      <c r="R95" s="860" t="s">
        <v>177</v>
      </c>
      <c r="S95" s="860"/>
      <c r="T95" s="860"/>
      <c r="U95" s="762"/>
      <c r="V95" s="926"/>
      <c r="W95" s="926"/>
      <c r="X95" s="926"/>
      <c r="Y95" s="926"/>
    </row>
    <row r="96" spans="1:26" ht="15" customHeight="1" x14ac:dyDescent="0.25">
      <c r="B96" s="753"/>
      <c r="C96" s="123" t="s">
        <v>159</v>
      </c>
      <c r="D96" s="123" t="s">
        <v>160</v>
      </c>
      <c r="E96" s="870" t="s">
        <v>161</v>
      </c>
      <c r="F96" s="870"/>
      <c r="G96" s="870"/>
      <c r="H96" s="767"/>
      <c r="I96" s="767"/>
      <c r="J96" s="767"/>
      <c r="K96" s="70"/>
      <c r="L96" s="70"/>
      <c r="M96" s="71"/>
      <c r="N96" s="70"/>
      <c r="O96" s="70"/>
      <c r="P96" s="70"/>
      <c r="Q96" s="70"/>
      <c r="R96" s="927" t="s">
        <v>116</v>
      </c>
      <c r="S96" s="927"/>
      <c r="T96" s="928">
        <f>IF(I111=1,E97,0)</f>
        <v>0</v>
      </c>
      <c r="U96" s="928"/>
      <c r="V96" s="928"/>
      <c r="W96" s="747" t="s">
        <v>117</v>
      </c>
      <c r="X96" s="212">
        <f>I97</f>
        <v>617</v>
      </c>
      <c r="Y96" s="266">
        <f>ROUND(X96*T96,2)</f>
        <v>0</v>
      </c>
    </row>
    <row r="97" spans="1:25" ht="17.25" customHeight="1" x14ac:dyDescent="0.25">
      <c r="A97" s="910" t="s">
        <v>116</v>
      </c>
      <c r="B97" s="910"/>
      <c r="C97" s="279">
        <v>0</v>
      </c>
      <c r="D97" s="279">
        <v>0</v>
      </c>
      <c r="E97" s="940">
        <f>(C97+D97)/2</f>
        <v>0</v>
      </c>
      <c r="F97" s="940"/>
      <c r="G97" s="940"/>
      <c r="H97" s="773"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747" t="s">
        <v>117</v>
      </c>
      <c r="X97" s="212">
        <f>I98</f>
        <v>1870</v>
      </c>
      <c r="Y97" s="266">
        <f>ROUND(X97*T97,2)</f>
        <v>0</v>
      </c>
    </row>
    <row r="98" spans="1:25" ht="17.25" customHeight="1" x14ac:dyDescent="0.25">
      <c r="A98" s="910" t="s">
        <v>118</v>
      </c>
      <c r="B98" s="910"/>
      <c r="C98" s="279">
        <v>0</v>
      </c>
      <c r="D98" s="279"/>
      <c r="E98" s="941">
        <f>(C98+D98)/2</f>
        <v>0</v>
      </c>
      <c r="F98" s="941"/>
      <c r="G98" s="941"/>
      <c r="H98" s="773" t="s">
        <v>117</v>
      </c>
      <c r="I98" s="130">
        <f>IF(A1&gt;67,0,INDEX('[1]Transportation Per Student'!J$1:J$65536,MATCH(A1,'[1]Transportation Per Student'!B$1:B$65536)))</f>
        <v>1870</v>
      </c>
      <c r="J98" s="62">
        <f>ROUND(I98*E98,2)</f>
        <v>0</v>
      </c>
      <c r="K98" s="70"/>
      <c r="L98" s="70"/>
      <c r="M98" s="71"/>
      <c r="N98" s="70"/>
      <c r="O98" s="70"/>
      <c r="P98" s="70"/>
      <c r="Q98" s="70"/>
      <c r="R98" s="763"/>
      <c r="S98" s="763"/>
      <c r="T98" s="275"/>
      <c r="U98" s="275"/>
      <c r="V98" s="275"/>
      <c r="W98" s="747"/>
      <c r="X98" s="212"/>
      <c r="Y98" s="271"/>
    </row>
    <row r="99" spans="1:25" ht="27.75" customHeight="1" x14ac:dyDescent="0.25">
      <c r="A99" s="757"/>
      <c r="B99" s="757"/>
      <c r="C99" s="110"/>
      <c r="D99" s="110"/>
      <c r="E99" s="124"/>
      <c r="F99" s="124"/>
      <c r="G99" s="124"/>
      <c r="H99" s="773"/>
      <c r="I99" s="86"/>
      <c r="J99" s="30"/>
      <c r="K99" s="70"/>
      <c r="L99" s="70"/>
      <c r="M99" s="71"/>
      <c r="N99" s="70"/>
      <c r="O99" s="70"/>
      <c r="P99" s="70"/>
      <c r="Q99" s="70"/>
      <c r="R99" s="763"/>
      <c r="S99" s="763"/>
      <c r="T99" s="275"/>
      <c r="U99" s="275"/>
      <c r="V99" s="275"/>
      <c r="W99" s="747"/>
      <c r="X99" s="212"/>
      <c r="Y99" s="271"/>
    </row>
    <row r="100" spans="1:25" ht="14.25" customHeight="1" x14ac:dyDescent="0.25">
      <c r="A100" s="896" t="s">
        <v>119</v>
      </c>
      <c r="B100" s="896"/>
      <c r="C100" s="896"/>
      <c r="D100" s="896"/>
      <c r="E100" s="896"/>
      <c r="F100" s="744" t="s">
        <v>120</v>
      </c>
      <c r="G100" s="866"/>
      <c r="H100" s="866"/>
      <c r="I100" s="866"/>
      <c r="J100" s="866"/>
      <c r="K100" s="70"/>
      <c r="L100" s="70"/>
      <c r="M100" s="71"/>
      <c r="N100" s="70"/>
      <c r="O100" s="70"/>
      <c r="P100" s="70"/>
      <c r="Q100" s="70"/>
      <c r="R100" s="860" t="s">
        <v>178</v>
      </c>
      <c r="S100" s="860"/>
      <c r="T100" s="860"/>
      <c r="U100" s="746"/>
      <c r="V100" s="874"/>
      <c r="W100" s="874"/>
      <c r="X100" s="874"/>
      <c r="Y100" s="874"/>
    </row>
    <row r="101" spans="1:25" ht="48" customHeight="1" x14ac:dyDescent="0.25">
      <c r="A101" s="947" t="s">
        <v>121</v>
      </c>
      <c r="B101" s="947"/>
      <c r="C101" s="770"/>
      <c r="D101" s="868" t="s">
        <v>122</v>
      </c>
      <c r="E101" s="868"/>
      <c r="F101" s="868"/>
      <c r="G101" s="948" t="s">
        <v>123</v>
      </c>
      <c r="H101" s="948"/>
      <c r="I101" s="771" t="s">
        <v>124</v>
      </c>
      <c r="J101" s="770" t="s">
        <v>125</v>
      </c>
      <c r="K101" s="70"/>
      <c r="L101" s="70"/>
      <c r="M101" s="70"/>
      <c r="N101" s="70"/>
      <c r="O101" s="70"/>
      <c r="P101" s="70"/>
      <c r="Q101" s="70"/>
      <c r="R101" s="934" t="s">
        <v>121</v>
      </c>
      <c r="S101" s="934"/>
      <c r="T101" s="935" t="s">
        <v>122</v>
      </c>
      <c r="U101" s="935"/>
      <c r="V101" s="936" t="s">
        <v>123</v>
      </c>
      <c r="W101" s="936"/>
      <c r="X101" s="765" t="s">
        <v>124</v>
      </c>
      <c r="Y101" s="764" t="s">
        <v>125</v>
      </c>
    </row>
    <row r="102" spans="1:25" ht="16.5" customHeight="1" x14ac:dyDescent="0.25">
      <c r="A102" s="859" t="s">
        <v>126</v>
      </c>
      <c r="B102" s="859"/>
      <c r="C102" s="74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74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743"/>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744"/>
      <c r="D105" s="744"/>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758" t="s">
        <v>130</v>
      </c>
      <c r="G106" s="914"/>
      <c r="H106" s="914"/>
      <c r="I106" s="914"/>
      <c r="J106" s="93"/>
      <c r="K106" s="94"/>
      <c r="L106" s="94"/>
      <c r="M106" s="94"/>
      <c r="N106" s="94"/>
      <c r="O106" s="94"/>
      <c r="P106" s="94"/>
      <c r="Q106" s="94"/>
      <c r="R106" s="860" t="s">
        <v>179</v>
      </c>
      <c r="S106" s="860"/>
      <c r="T106" s="860"/>
      <c r="U106" s="768"/>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409544.5</v>
      </c>
      <c r="R107" s="860" t="s">
        <v>125</v>
      </c>
      <c r="S107" s="860"/>
      <c r="T107" s="860"/>
      <c r="U107" s="860"/>
      <c r="V107" s="860"/>
      <c r="W107" s="860"/>
      <c r="X107" s="860"/>
      <c r="Y107" s="723">
        <f>SUM(Y106,Y105,Y97,Y96,Y93,Y86,Y85,Y84,Y70,Y69,Y67,Y33,Y71,Y50,Y87,Y83)</f>
        <v>59408.4</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389214.34</v>
      </c>
      <c r="R109" s="170" t="s">
        <v>180</v>
      </c>
      <c r="S109" s="170"/>
      <c r="T109" s="170"/>
      <c r="U109" s="170"/>
      <c r="V109" s="170"/>
      <c r="W109" s="170"/>
      <c r="X109" s="170"/>
      <c r="Y109" s="724">
        <f>Y107-Y38</f>
        <v>54996.130000000005</v>
      </c>
    </row>
    <row r="110" spans="1:25" ht="18.75" customHeight="1" thickTop="1" x14ac:dyDescent="0.25">
      <c r="A110" s="896" t="s">
        <v>133</v>
      </c>
      <c r="B110" s="896"/>
      <c r="C110" s="896"/>
      <c r="D110" s="896"/>
      <c r="E110" s="896"/>
      <c r="F110" s="896"/>
      <c r="G110" s="896"/>
      <c r="H110" s="896"/>
      <c r="I110" s="753"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c r="J111" s="137">
        <f>Y109</f>
        <v>54996.130000000005</v>
      </c>
      <c r="R111" s="950" t="s">
        <v>181</v>
      </c>
      <c r="S111" s="950"/>
      <c r="T111" s="950"/>
      <c r="U111" s="950"/>
      <c r="V111" s="950"/>
      <c r="W111" s="950"/>
      <c r="X111" s="950"/>
      <c r="Y111" s="950"/>
    </row>
    <row r="112" spans="1:25" ht="15.75" customHeight="1" x14ac:dyDescent="0.25">
      <c r="A112" s="754"/>
      <c r="B112" s="754"/>
      <c r="C112" s="754"/>
      <c r="D112" s="754"/>
      <c r="E112" s="754"/>
      <c r="F112" s="754"/>
      <c r="G112" s="754"/>
      <c r="H112" s="754"/>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9">
        <v>0</v>
      </c>
      <c r="I114" s="710">
        <f>IF(I111=1,J111,J109)</f>
        <v>389214.34</v>
      </c>
      <c r="J114" s="711">
        <f>ROUND(IF(E28=0,0,IF(E28&gt;250,-(((250/E28)*I114)*IF(H114="H",0.02,0.05)),IF(H114="H",-0.02*I114,-0.05*I114))),2)</f>
        <v>-19460.72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390083.78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Payments'!Q73</f>
        <v>-130027.92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260055.86000000004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43342.64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752" t="s">
        <v>146</v>
      </c>
      <c r="B138" s="752"/>
      <c r="C138" s="752"/>
      <c r="D138" s="752"/>
      <c r="E138" s="752"/>
      <c r="F138" s="752"/>
      <c r="G138" s="752"/>
      <c r="H138" s="752"/>
      <c r="I138" s="752"/>
      <c r="J138" s="752"/>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workbookViewId="0">
      <selection activeCell="C48" sqref="C4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437</v>
      </c>
      <c r="B2" s="102"/>
      <c r="C2" s="102"/>
      <c r="D2" s="102"/>
      <c r="E2" s="100"/>
      <c r="F2" s="100"/>
      <c r="G2" s="100"/>
      <c r="H2" s="100"/>
      <c r="I2" s="100"/>
      <c r="J2" s="100"/>
      <c r="K2" s="6"/>
      <c r="L2" s="6"/>
      <c r="M2" s="6"/>
      <c r="N2" s="6"/>
      <c r="O2" s="6"/>
      <c r="P2" s="6"/>
      <c r="Q2" s="6"/>
      <c r="R2" s="873" t="str">
        <f>Revenue_Estimate_Worksheet_for___________Charter_School</f>
        <v>Revenue Estimate Worksheet: The Learning Center Highschool 0100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Second'!$C$1:$C$65536,MATCH('0100'!$A$1,'[1]Detail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c r="D12" s="411"/>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c r="D13" s="415"/>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c r="D14" s="415"/>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c r="D15" s="415"/>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c r="D16" s="415"/>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1</v>
      </c>
      <c r="D17" s="415">
        <v>1.02</v>
      </c>
      <c r="E17" s="965">
        <f t="shared" si="0"/>
        <v>2.02</v>
      </c>
      <c r="F17" s="965"/>
      <c r="G17" s="966">
        <v>0.97199999999999998</v>
      </c>
      <c r="H17" s="966"/>
      <c r="I17" s="578">
        <f t="shared" si="2"/>
        <v>1.9634</v>
      </c>
      <c r="J17" s="579">
        <f t="shared" si="1"/>
        <v>10923.04</v>
      </c>
      <c r="M17" s="2"/>
      <c r="R17" s="858" t="s">
        <v>25</v>
      </c>
      <c r="S17" s="858"/>
      <c r="T17" s="889">
        <f t="shared" si="3"/>
        <v>2.02</v>
      </c>
      <c r="U17" s="889"/>
      <c r="V17" s="894">
        <v>1</v>
      </c>
      <c r="W17" s="894"/>
      <c r="X17" s="156">
        <f t="shared" si="4"/>
        <v>2.02</v>
      </c>
      <c r="Y17" s="266">
        <f t="shared" si="6"/>
        <v>11237.92</v>
      </c>
    </row>
    <row r="18" spans="1:25" x14ac:dyDescent="0.25">
      <c r="A18" s="859" t="s">
        <v>26</v>
      </c>
      <c r="B18" s="859"/>
      <c r="C18" s="415"/>
      <c r="D18" s="415"/>
      <c r="E18" s="965">
        <f>IF($D$28=0,C18*2,C18+D18)</f>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c r="D19" s="415"/>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3.47</v>
      </c>
      <c r="D20" s="415">
        <v>4.47</v>
      </c>
      <c r="E20" s="965">
        <f>IF($D$28=0,C20*2,C20+D20)</f>
        <v>7.9399999999999995</v>
      </c>
      <c r="F20" s="965"/>
      <c r="G20" s="966">
        <v>3.609</v>
      </c>
      <c r="H20" s="966"/>
      <c r="I20" s="578">
        <f t="shared" si="2"/>
        <v>28.6555</v>
      </c>
      <c r="J20" s="579">
        <f t="shared" si="1"/>
        <v>159419.93</v>
      </c>
      <c r="M20" s="2"/>
      <c r="R20" s="858" t="s">
        <v>28</v>
      </c>
      <c r="S20" s="858"/>
      <c r="T20" s="889">
        <f t="shared" si="3"/>
        <v>7.9399999999999995</v>
      </c>
      <c r="U20" s="889"/>
      <c r="V20" s="894">
        <v>1</v>
      </c>
      <c r="W20" s="894"/>
      <c r="X20" s="156">
        <f t="shared" si="4"/>
        <v>7.94</v>
      </c>
      <c r="Y20" s="266">
        <f t="shared" si="6"/>
        <v>44172.82</v>
      </c>
    </row>
    <row r="21" spans="1:25" ht="15" customHeight="1" x14ac:dyDescent="0.25">
      <c r="A21" s="859" t="s">
        <v>29</v>
      </c>
      <c r="B21" s="859"/>
      <c r="C21" s="415"/>
      <c r="D21" s="415"/>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c r="D22" s="415"/>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1</v>
      </c>
      <c r="D23" s="415">
        <v>0.5</v>
      </c>
      <c r="E23" s="965">
        <f t="shared" si="0"/>
        <v>1.5</v>
      </c>
      <c r="F23" s="965"/>
      <c r="G23" s="966">
        <v>6.0640000000000001</v>
      </c>
      <c r="H23" s="966"/>
      <c r="I23" s="578">
        <f t="shared" si="2"/>
        <v>9.0960000000000001</v>
      </c>
      <c r="J23" s="579">
        <f t="shared" si="1"/>
        <v>50604.03</v>
      </c>
      <c r="M23" s="2"/>
      <c r="R23" s="858" t="s">
        <v>31</v>
      </c>
      <c r="S23" s="858"/>
      <c r="T23" s="889">
        <f t="shared" si="3"/>
        <v>1.5</v>
      </c>
      <c r="U23" s="889"/>
      <c r="V23" s="894">
        <v>1</v>
      </c>
      <c r="W23" s="894"/>
      <c r="X23" s="156">
        <f t="shared" si="4"/>
        <v>1.5</v>
      </c>
      <c r="Y23" s="266">
        <f t="shared" si="6"/>
        <v>8344.99</v>
      </c>
    </row>
    <row r="24" spans="1:25" x14ac:dyDescent="0.25">
      <c r="A24" s="859" t="s">
        <v>32</v>
      </c>
      <c r="B24" s="859"/>
      <c r="C24" s="415"/>
      <c r="D24" s="415"/>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c r="D25" s="415"/>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c r="D26" s="415"/>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c r="D27" s="416"/>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5.4700000000000006</v>
      </c>
      <c r="D28" s="126">
        <f>SUM(D12:D27)</f>
        <v>5.99</v>
      </c>
      <c r="E28" s="964">
        <f>SUM(E12:E27)</f>
        <v>11.459999999999999</v>
      </c>
      <c r="F28" s="964"/>
      <c r="G28" s="959"/>
      <c r="H28" s="959"/>
      <c r="I28" s="23">
        <f>SUM(I12:I27)</f>
        <v>39.7149</v>
      </c>
      <c r="J28" s="127">
        <f>SUM(J12:J27)</f>
        <v>220947</v>
      </c>
      <c r="M28" s="2"/>
      <c r="R28" s="905" t="s">
        <v>36</v>
      </c>
      <c r="S28" s="905"/>
      <c r="T28" s="906">
        <f>SUM(T12:T27)</f>
        <v>11.459999999999999</v>
      </c>
      <c r="U28" s="906"/>
      <c r="V28" s="907"/>
      <c r="W28" s="907"/>
      <c r="X28" s="158">
        <f>SUM(X12:X27)</f>
        <v>11.46</v>
      </c>
      <c r="Y28" s="266">
        <f>SUM(Y12:Y27)</f>
        <v>63755.729999999996</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39.7149</v>
      </c>
      <c r="H33" s="959" t="s">
        <v>45</v>
      </c>
      <c r="I33" s="959"/>
      <c r="J33" s="32">
        <f>SUM(J32,J28)</f>
        <v>220947</v>
      </c>
      <c r="M33" s="2"/>
      <c r="R33" s="909" t="s">
        <v>44</v>
      </c>
      <c r="S33" s="909"/>
      <c r="T33" s="909"/>
      <c r="U33" s="909"/>
      <c r="V33" s="164" t="e">
        <f>V32+X28</f>
        <v>#REF!</v>
      </c>
      <c r="W33" s="907" t="s">
        <v>45</v>
      </c>
      <c r="X33" s="907"/>
      <c r="Y33" s="165">
        <f>SUM(Y32,Y28)</f>
        <v>63755.729999999996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191517.55</v>
      </c>
      <c r="H36" s="223" t="s">
        <v>49</v>
      </c>
      <c r="I36" s="38">
        <v>6.6699999999999995E-2</v>
      </c>
      <c r="J36" s="131">
        <f>ROUND(G36*I36,2)</f>
        <v>12774.22</v>
      </c>
      <c r="K36" s="39"/>
      <c r="L36" s="233"/>
      <c r="M36" s="233"/>
      <c r="N36" s="233"/>
      <c r="O36" s="31"/>
      <c r="P36" s="232"/>
      <c r="Q36" s="232"/>
      <c r="R36" s="858" t="s">
        <v>47</v>
      </c>
      <c r="S36" s="858"/>
      <c r="T36" s="858"/>
      <c r="U36" s="253"/>
      <c r="V36" s="172">
        <v>61196.59</v>
      </c>
      <c r="W36" s="239" t="s">
        <v>49</v>
      </c>
      <c r="X36" s="174">
        <v>6.6699999999999995E-2</v>
      </c>
      <c r="Y36" s="266">
        <f>J36</f>
        <v>12774.22</v>
      </c>
    </row>
    <row r="37" spans="1:25" ht="20.25" customHeight="1" x14ac:dyDescent="0.25">
      <c r="A37" s="859" t="s">
        <v>50</v>
      </c>
      <c r="B37" s="859"/>
      <c r="C37" s="859"/>
      <c r="D37" s="859"/>
      <c r="E37" s="859"/>
      <c r="F37" s="248" t="s">
        <v>48</v>
      </c>
      <c r="G37" s="132">
        <v>191517.55</v>
      </c>
      <c r="H37" s="223" t="s">
        <v>49</v>
      </c>
      <c r="I37" s="38">
        <v>5.4000000000000003E-3</v>
      </c>
      <c r="J37" s="131">
        <f>ROUND(G37*I37,2)</f>
        <v>1034.19</v>
      </c>
      <c r="K37" s="39"/>
      <c r="L37" s="233"/>
      <c r="M37" s="233"/>
      <c r="N37" s="233"/>
      <c r="O37" s="31"/>
      <c r="P37" s="232"/>
      <c r="Q37" s="232"/>
      <c r="R37" s="858" t="s">
        <v>50</v>
      </c>
      <c r="S37" s="858"/>
      <c r="T37" s="858"/>
      <c r="U37" s="253"/>
      <c r="V37" s="172">
        <v>61196.59</v>
      </c>
      <c r="W37" s="239" t="s">
        <v>49</v>
      </c>
      <c r="X37" s="174">
        <v>5.4000000000000003E-3</v>
      </c>
      <c r="Y37" s="266">
        <f>J37</f>
        <v>1034.19</v>
      </c>
    </row>
    <row r="38" spans="1:25" ht="20.25" customHeight="1" x14ac:dyDescent="0.25">
      <c r="A38" s="896" t="s">
        <v>51</v>
      </c>
      <c r="B38" s="896"/>
      <c r="C38" s="896"/>
      <c r="D38" s="896"/>
      <c r="E38" s="896"/>
      <c r="F38" s="248" t="s">
        <v>52</v>
      </c>
      <c r="G38" s="40"/>
      <c r="H38" s="223"/>
      <c r="I38" s="41"/>
      <c r="J38" s="131">
        <f>SUM(J36:J37)</f>
        <v>13808.41</v>
      </c>
      <c r="K38" s="39"/>
      <c r="L38" s="233"/>
      <c r="M38" s="233"/>
      <c r="N38" s="233"/>
      <c r="O38" s="31"/>
      <c r="P38" s="232"/>
      <c r="Q38" s="232"/>
      <c r="R38" s="860" t="s">
        <v>51</v>
      </c>
      <c r="S38" s="860"/>
      <c r="T38" s="860"/>
      <c r="U38" s="253" t="s">
        <v>52</v>
      </c>
      <c r="V38" s="175"/>
      <c r="W38" s="239"/>
      <c r="X38" s="176"/>
      <c r="Y38" s="157">
        <f>Y36+Y37</f>
        <v>13808.41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700"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1</v>
      </c>
      <c r="D49" s="415">
        <v>1.02</v>
      </c>
      <c r="E49" s="953">
        <f t="shared" si="7"/>
        <v>2.02</v>
      </c>
      <c r="F49" s="953"/>
      <c r="G49" s="47" t="s">
        <v>61</v>
      </c>
      <c r="H49" s="223">
        <v>253</v>
      </c>
      <c r="I49" s="136">
        <f>INDEX('[1]111-112-113 ADDITIONAL FUND'!L$1:L$65536,MATCH($A$1,'[1]111-112-113 ADDITIONAL FUND'!A$1:A$65536))</f>
        <v>6685</v>
      </c>
      <c r="J49" s="46">
        <f t="shared" si="8"/>
        <v>13503.7</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v>
      </c>
      <c r="D50" s="233">
        <f>SUM(D41:D49)</f>
        <v>1.02</v>
      </c>
      <c r="E50" s="954">
        <f>SUM(E41:E49)</f>
        <v>2.02</v>
      </c>
      <c r="F50" s="954"/>
      <c r="G50" s="910" t="s">
        <v>63</v>
      </c>
      <c r="H50" s="910"/>
      <c r="I50" s="910"/>
      <c r="J50" s="276">
        <f>SUM(J41:J49)</f>
        <v>13503.7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11.459999999999999</v>
      </c>
      <c r="U52" s="184" t="s">
        <v>66</v>
      </c>
      <c r="V52" s="185"/>
      <c r="W52" s="186" t="s">
        <v>67</v>
      </c>
      <c r="X52" s="917">
        <f>I53</f>
        <v>215320.92</v>
      </c>
      <c r="Y52" s="917"/>
    </row>
    <row r="53" spans="1:25" ht="16.5" customHeight="1" x14ac:dyDescent="0.25">
      <c r="A53" s="897" t="s">
        <v>65</v>
      </c>
      <c r="B53" s="897"/>
      <c r="C53" s="48">
        <f>E28</f>
        <v>11.459999999999999</v>
      </c>
      <c r="D53" s="49" t="s">
        <v>66</v>
      </c>
      <c r="G53" s="3"/>
      <c r="H53" s="50" t="s">
        <v>67</v>
      </c>
      <c r="I53" s="702">
        <f>INDEX('[1]Detail 2025-26 FEFP Second'!E$1:E$65536,MATCH(A1,'[1]Detail 2025-26 FEFP Second'!A$1:A$65536))</f>
        <v>215320.92</v>
      </c>
      <c r="J53" s="704"/>
      <c r="M53" s="2"/>
      <c r="R53" s="255"/>
      <c r="S53" s="243"/>
      <c r="T53" s="170"/>
      <c r="U53" s="170"/>
      <c r="V53" s="170"/>
      <c r="W53" s="189" t="s">
        <v>68</v>
      </c>
      <c r="X53" s="918">
        <f>ROUND(T52/X52,6)</f>
        <v>5.3000000000000001E-5</v>
      </c>
      <c r="Y53" s="918"/>
    </row>
    <row r="54" spans="1:25" ht="22.5" customHeight="1" x14ac:dyDescent="0.25">
      <c r="A54" s="237"/>
      <c r="B54" s="230"/>
      <c r="C54" s="230"/>
      <c r="D54" s="230"/>
      <c r="H54" s="53" t="s">
        <v>68</v>
      </c>
      <c r="I54" s="943">
        <f>IFERROR(ROUND(C53/I53,6),0)</f>
        <v>5.3000000000000001E-5</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11.46</v>
      </c>
      <c r="U55" s="184" t="s">
        <v>66</v>
      </c>
      <c r="V55" s="185"/>
      <c r="W55" s="186" t="s">
        <v>71</v>
      </c>
      <c r="X55" s="917">
        <f>I56</f>
        <v>229051.25000000003</v>
      </c>
      <c r="Y55" s="917"/>
    </row>
    <row r="56" spans="1:25" ht="16.5" customHeight="1" x14ac:dyDescent="0.25">
      <c r="A56" s="897" t="s">
        <v>70</v>
      </c>
      <c r="B56" s="897"/>
      <c r="C56" s="48">
        <f>G33</f>
        <v>39.7149</v>
      </c>
      <c r="D56" s="49" t="s">
        <v>66</v>
      </c>
      <c r="G56" s="3"/>
      <c r="H56" s="50" t="s">
        <v>71</v>
      </c>
      <c r="I56" s="702">
        <f>INDEX('[1]Detail 2025-26 FEFP Second'!F$1:F$65536,MATCH(A1,'[1]Detail 2025-26 FEFP Second'!A$1:A$65536))</f>
        <v>229051.25000000003</v>
      </c>
      <c r="J56" s="704"/>
      <c r="M56" s="2"/>
      <c r="R56" s="255"/>
      <c r="S56" s="170"/>
      <c r="T56" s="170"/>
      <c r="U56" s="170"/>
      <c r="V56" s="170"/>
      <c r="W56" s="189" t="s">
        <v>68</v>
      </c>
      <c r="X56" s="918">
        <f>ROUND(T55/X55,6)</f>
        <v>5.0000000000000002E-5</v>
      </c>
      <c r="Y56" s="918"/>
    </row>
    <row r="57" spans="1:25" ht="18.75" customHeight="1" x14ac:dyDescent="0.25">
      <c r="A57" s="237"/>
      <c r="H57" s="53" t="s">
        <v>68</v>
      </c>
      <c r="I57" s="943">
        <f>IFERROR(ROUND(C56/I56,6),0)</f>
        <v>1.73E-4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11.459999999999999</v>
      </c>
      <c r="U58" s="184" t="s">
        <v>66</v>
      </c>
      <c r="V58" s="916" t="s">
        <v>74</v>
      </c>
      <c r="W58" s="916"/>
      <c r="X58" s="917">
        <f>I59</f>
        <v>186156.17</v>
      </c>
      <c r="Y58" s="917"/>
    </row>
    <row r="59" spans="1:25" ht="18.75" customHeight="1" x14ac:dyDescent="0.25">
      <c r="A59" s="897" t="s">
        <v>73</v>
      </c>
      <c r="B59" s="897"/>
      <c r="C59" s="48">
        <f>E28</f>
        <v>11.459999999999999</v>
      </c>
      <c r="D59" s="49" t="s">
        <v>66</v>
      </c>
      <c r="F59" s="967" t="s">
        <v>74</v>
      </c>
      <c r="G59" s="967"/>
      <c r="H59" s="967"/>
      <c r="I59" s="702">
        <f>INDEX('[1]Detail 2025-26 FEFP Second'!H$1:H$65536,MATCH(A1,'[1]Detail 2025-26 FEFP Second'!A$1:A$65536))</f>
        <v>186156.17</v>
      </c>
      <c r="J59" s="704"/>
      <c r="M59" s="2"/>
      <c r="R59" s="255"/>
      <c r="S59" s="170"/>
      <c r="T59" s="170"/>
      <c r="U59" s="170"/>
      <c r="V59" s="170"/>
      <c r="W59" s="189" t="s">
        <v>68</v>
      </c>
      <c r="X59" s="918">
        <f>ROUND(T58/X58,6)</f>
        <v>6.2000000000000003E-5</v>
      </c>
      <c r="Y59" s="918"/>
    </row>
    <row r="60" spans="1:25" ht="18" customHeight="1" x14ac:dyDescent="0.25">
      <c r="A60" s="237"/>
      <c r="H60" s="53" t="s">
        <v>68</v>
      </c>
      <c r="I60" s="943">
        <f>IFERROR(ROUND(C59/I59,6),0)</f>
        <v>6.2000000000000003E-5</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11.459999999999999</v>
      </c>
      <c r="U61" s="184" t="s">
        <v>66</v>
      </c>
      <c r="V61" s="916" t="s">
        <v>76</v>
      </c>
      <c r="W61" s="916"/>
      <c r="X61" s="917">
        <f>I62</f>
        <v>215016.58000000002</v>
      </c>
      <c r="Y61" s="917"/>
    </row>
    <row r="62" spans="1:25" ht="23.25" customHeight="1" x14ac:dyDescent="0.25">
      <c r="A62" s="897" t="s">
        <v>73</v>
      </c>
      <c r="B62" s="897"/>
      <c r="C62" s="48">
        <f>E28</f>
        <v>11.459999999999999</v>
      </c>
      <c r="D62" s="49" t="s">
        <v>66</v>
      </c>
      <c r="F62" s="967" t="s">
        <v>76</v>
      </c>
      <c r="G62" s="967"/>
      <c r="H62" s="967"/>
      <c r="I62" s="702">
        <f>INDEX('[1]Detail 2025-26 FEFP Second'!G$1:G$65536,MATCH(A1,'[1]Detail 2025-26 FEFP Second'!A$1:A$65536))</f>
        <v>215016.58000000002</v>
      </c>
      <c r="J62" s="704"/>
      <c r="M62" s="2"/>
      <c r="R62" s="255"/>
      <c r="S62" s="170"/>
      <c r="T62" s="170"/>
      <c r="U62" s="170"/>
      <c r="V62" s="170"/>
      <c r="W62" s="189" t="s">
        <v>68</v>
      </c>
      <c r="X62" s="918">
        <f>ROUND(T61/X61,6)</f>
        <v>5.3000000000000001E-5</v>
      </c>
      <c r="Y62" s="918"/>
    </row>
    <row r="63" spans="1:25" ht="19.5" customHeight="1" x14ac:dyDescent="0.25">
      <c r="A63" s="237"/>
      <c r="H63" s="53" t="s">
        <v>68</v>
      </c>
      <c r="I63" s="943">
        <f>IFERROR(ROUND(C62/I62,6),0)</f>
        <v>5.3000000000000001E-5</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11.459999999999999</v>
      </c>
      <c r="U64" s="184" t="s">
        <v>66</v>
      </c>
      <c r="V64" s="916" t="s">
        <v>165</v>
      </c>
      <c r="W64" s="916"/>
      <c r="X64" s="917">
        <f>I65</f>
        <v>185851.83000000002</v>
      </c>
      <c r="Y64" s="917"/>
    </row>
    <row r="65" spans="1:26" ht="22.5" customHeight="1" x14ac:dyDescent="0.25">
      <c r="A65" s="897" t="s">
        <v>73</v>
      </c>
      <c r="B65" s="897"/>
      <c r="C65" s="48">
        <f>E28</f>
        <v>11.459999999999999</v>
      </c>
      <c r="D65" s="988" t="s">
        <v>552</v>
      </c>
      <c r="E65" s="988"/>
      <c r="F65" s="988"/>
      <c r="G65" s="988"/>
      <c r="H65" s="988"/>
      <c r="I65" s="702">
        <f>INDEX('[1]Detail 2025-26 FEFP Second'!I$1:I$65536,MATCH(A1,'[1]Detail 2025-26 FEFP Second'!A$1:A$65536))</f>
        <v>185851.83000000002</v>
      </c>
      <c r="J65" s="704"/>
      <c r="M65" s="2"/>
      <c r="R65" s="190"/>
      <c r="S65" s="170"/>
      <c r="T65" s="170"/>
      <c r="U65" s="170"/>
      <c r="V65" s="170"/>
      <c r="W65" s="189" t="s">
        <v>68</v>
      </c>
      <c r="X65" s="918">
        <f>ROUND(T64/X64,6)</f>
        <v>6.2000000000000003E-5</v>
      </c>
      <c r="Y65" s="918"/>
    </row>
    <row r="66" spans="1:26" ht="19.5" customHeight="1" x14ac:dyDescent="0.25">
      <c r="A66" s="237"/>
      <c r="H66" s="53" t="s">
        <v>68</v>
      </c>
      <c r="I66" s="943">
        <f>IFERROR(ROUND(C65/I65,6),0)</f>
        <v>6.2000000000000003E-5</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5.3000000000000001E-5</v>
      </c>
      <c r="Y67" s="271">
        <f>ROUND(V67*X67,2)</f>
        <v>2506.41</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5.3000000000000001E-5</v>
      </c>
      <c r="J68" s="138">
        <f>ROUND(G68*I68,2)</f>
        <v>2506.41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5.3000000000000001E-5</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5.3000000000000001E-5</v>
      </c>
      <c r="J70" s="138">
        <f>ROUND(G70*I70,2)</f>
        <v>0</v>
      </c>
      <c r="M70" s="2"/>
      <c r="R70" s="860" t="s">
        <v>167</v>
      </c>
      <c r="S70" s="860"/>
      <c r="T70" s="860"/>
      <c r="U70" s="253"/>
      <c r="V70" s="193">
        <f>G71</f>
        <v>19167881</v>
      </c>
      <c r="W70" s="239" t="s">
        <v>81</v>
      </c>
      <c r="X70" s="176">
        <f>X65</f>
        <v>6.2000000000000003E-5</v>
      </c>
      <c r="Y70" s="266">
        <f t="shared" si="11"/>
        <v>1188.4100000000001</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6.2000000000000003E-5</v>
      </c>
      <c r="J71" s="138">
        <f>ROUND(G71*I71,2)</f>
        <v>1188.4100000000001</v>
      </c>
      <c r="M71" s="2"/>
      <c r="R71" s="240" t="s">
        <v>168</v>
      </c>
      <c r="S71" s="240"/>
      <c r="T71" s="240"/>
      <c r="U71" s="253"/>
      <c r="V71" s="171">
        <f>G72</f>
        <v>11546889</v>
      </c>
      <c r="W71" s="239" t="s">
        <v>81</v>
      </c>
      <c r="X71" s="176">
        <f>X59</f>
        <v>6.2000000000000003E-5</v>
      </c>
      <c r="Y71" s="266">
        <f t="shared" si="11"/>
        <v>715.91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6.2000000000000003E-5</v>
      </c>
      <c r="J72" s="138">
        <f>ROUND(G72*I72,2)</f>
        <v>715.91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1.73E-4</v>
      </c>
      <c r="J85" s="138">
        <f>ROUND(G85*I85,2)</f>
        <v>46505.22</v>
      </c>
      <c r="K85" s="70"/>
      <c r="L85" s="70"/>
      <c r="M85" s="71"/>
      <c r="N85" s="70"/>
      <c r="O85" s="70"/>
      <c r="P85" s="70"/>
      <c r="Q85" s="70"/>
      <c r="R85" s="860" t="s">
        <v>172</v>
      </c>
      <c r="S85" s="860"/>
      <c r="T85" s="860"/>
      <c r="U85" s="253"/>
      <c r="V85" s="171">
        <f>G85</f>
        <v>268816278</v>
      </c>
      <c r="W85" s="239" t="s">
        <v>81</v>
      </c>
      <c r="X85" s="176">
        <f>X56</f>
        <v>5.0000000000000002E-5</v>
      </c>
      <c r="Y85" s="266">
        <f t="shared" ref="Y85:Y87" si="12">ROUND(V85*X85,2)</f>
        <v>13440.81</v>
      </c>
    </row>
    <row r="86" spans="1:26" ht="14.25" customHeight="1" x14ac:dyDescent="0.25">
      <c r="A86" s="896" t="s">
        <v>104</v>
      </c>
      <c r="B86" s="896"/>
      <c r="C86" s="896"/>
      <c r="D86" s="896"/>
      <c r="E86" s="896"/>
      <c r="F86" s="248" t="s">
        <v>103</v>
      </c>
      <c r="G86" s="139">
        <v>0</v>
      </c>
      <c r="H86" s="223" t="s">
        <v>81</v>
      </c>
      <c r="I86" s="41">
        <f>I57</f>
        <v>1.73E-4</v>
      </c>
      <c r="J86" s="138">
        <f>ROUND(G86*I86,2)</f>
        <v>0</v>
      </c>
      <c r="K86" s="70"/>
      <c r="L86" s="71"/>
      <c r="M86" s="76"/>
      <c r="N86" s="76"/>
      <c r="O86" s="76"/>
      <c r="P86" s="76"/>
      <c r="Q86" s="70"/>
      <c r="R86" s="860" t="s">
        <v>173</v>
      </c>
      <c r="S86" s="860"/>
      <c r="T86" s="860"/>
      <c r="U86" s="253"/>
      <c r="V86" s="203">
        <f>G86</f>
        <v>0</v>
      </c>
      <c r="W86" s="239" t="s">
        <v>81</v>
      </c>
      <c r="X86" s="176">
        <f>X56</f>
        <v>5.0000000000000002E-5</v>
      </c>
      <c r="Y86" s="266">
        <f t="shared" si="12"/>
        <v>0</v>
      </c>
    </row>
    <row r="87" spans="1:26" ht="18" customHeight="1" x14ac:dyDescent="0.25">
      <c r="A87" s="896" t="s">
        <v>105</v>
      </c>
      <c r="B87" s="896"/>
      <c r="C87" s="896"/>
      <c r="D87" s="896"/>
      <c r="E87" s="896"/>
      <c r="F87" s="248" t="s">
        <v>84</v>
      </c>
      <c r="G87" s="139">
        <v>0</v>
      </c>
      <c r="H87" s="223" t="s">
        <v>81</v>
      </c>
      <c r="I87" s="41">
        <f>I54</f>
        <v>5.3000000000000001E-5</v>
      </c>
      <c r="J87" s="62">
        <f>ROUND(G87*I87,2)</f>
        <v>0</v>
      </c>
      <c r="K87" s="77"/>
      <c r="L87" s="70"/>
      <c r="M87" s="71"/>
      <c r="N87" s="70"/>
      <c r="O87" s="70"/>
      <c r="P87" s="70"/>
      <c r="Q87" s="70"/>
      <c r="R87" s="240" t="s">
        <v>174</v>
      </c>
      <c r="S87" s="240"/>
      <c r="T87" s="240"/>
      <c r="U87" s="253"/>
      <c r="V87" s="203">
        <f>G87</f>
        <v>0</v>
      </c>
      <c r="W87" s="239" t="s">
        <v>81</v>
      </c>
      <c r="X87" s="176">
        <f>X53</f>
        <v>5.3000000000000001E-5</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08">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707">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39.7149</v>
      </c>
      <c r="C92" s="109"/>
      <c r="D92" s="867">
        <f>I6</f>
        <v>1.0355000000000001</v>
      </c>
      <c r="E92" s="867"/>
      <c r="F92" s="867"/>
      <c r="G92" s="122">
        <f>'[1]Detail 2025-26 FEFP Second'!AD3</f>
        <v>917.3</v>
      </c>
      <c r="H92" s="47" t="s">
        <v>68</v>
      </c>
      <c r="I92" s="575">
        <f>ROUND(B92*D92*G92,2)</f>
        <v>37723.760000000002</v>
      </c>
      <c r="K92" s="70"/>
      <c r="L92" s="70"/>
      <c r="M92" s="71"/>
      <c r="N92" s="70"/>
      <c r="O92" s="70"/>
      <c r="P92" s="70"/>
      <c r="Q92" s="70"/>
      <c r="R92" s="207" t="s">
        <v>61</v>
      </c>
      <c r="S92" s="208">
        <f>X16+X17+X20+X23+X26+X27</f>
        <v>11.46</v>
      </c>
      <c r="T92" s="922">
        <f>X6</f>
        <v>1.0355000000000001</v>
      </c>
      <c r="U92" s="922"/>
      <c r="V92" s="122">
        <f>G92</f>
        <v>917.3</v>
      </c>
      <c r="W92" s="182" t="s">
        <v>68</v>
      </c>
      <c r="X92" s="272">
        <f>ROUND(S92*T92*V92,2)</f>
        <v>10885.44</v>
      </c>
      <c r="Y92" s="170"/>
    </row>
    <row r="93" spans="1:26" ht="18.75" customHeight="1" thickBot="1" x14ac:dyDescent="0.3">
      <c r="A93" s="247" t="s">
        <v>111</v>
      </c>
      <c r="B93" s="109">
        <f>SUM(B90:B92)</f>
        <v>39.7149</v>
      </c>
      <c r="C93" s="109"/>
      <c r="D93" s="109"/>
      <c r="E93" s="937" t="s">
        <v>112</v>
      </c>
      <c r="F93" s="937"/>
      <c r="G93" s="937"/>
      <c r="H93" s="937"/>
      <c r="I93" s="937"/>
      <c r="J93" s="127">
        <f>IF(A1=75,0,I92+I91+I90)</f>
        <v>37723.760000000002</v>
      </c>
      <c r="K93" s="70"/>
      <c r="L93" s="70"/>
      <c r="M93" s="71"/>
      <c r="N93" s="70"/>
      <c r="O93" s="70"/>
      <c r="P93" s="70"/>
      <c r="Q93" s="70"/>
      <c r="R93" s="252" t="s">
        <v>111</v>
      </c>
      <c r="S93" s="210">
        <f>SUM(S90:S92)</f>
        <v>11.46</v>
      </c>
      <c r="T93" s="923" t="s">
        <v>112</v>
      </c>
      <c r="U93" s="924"/>
      <c r="V93" s="924"/>
      <c r="W93" s="924"/>
      <c r="X93" s="924"/>
      <c r="Y93" s="266">
        <f>IF(R1=75,0,X92+X91+X90)</f>
        <v>10885.44</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40">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c r="E98" s="941">
        <f>(C98+D98)/2</f>
        <v>0</v>
      </c>
      <c r="F98" s="941"/>
      <c r="G98" s="9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8"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323090.41000000003</v>
      </c>
      <c r="R107" s="860" t="s">
        <v>125</v>
      </c>
      <c r="S107" s="860"/>
      <c r="T107" s="860"/>
      <c r="U107" s="860"/>
      <c r="V107" s="860"/>
      <c r="W107" s="860"/>
      <c r="X107" s="860"/>
      <c r="Y107" s="723">
        <f>SUM(Y106,Y105,Y97,Y96,Y93,Y86,Y85,Y84,Y70,Y69,Y67,Y33,Y71,Y50,Y87,Y83)</f>
        <v>92492.709999999992</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309282.00000000006</v>
      </c>
      <c r="R109" s="170" t="s">
        <v>180</v>
      </c>
      <c r="S109" s="170"/>
      <c r="T109" s="170"/>
      <c r="U109" s="170"/>
      <c r="V109" s="170"/>
      <c r="W109" s="170"/>
      <c r="X109" s="170"/>
      <c r="Y109" s="724">
        <f>Y107-Y38</f>
        <v>78684.299999999988</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v>1</v>
      </c>
      <c r="J111" s="137">
        <f>Y109</f>
        <v>78684.299999999988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9">
        <v>0</v>
      </c>
      <c r="I114" s="710">
        <f>IF(I111=1,J111,J109)</f>
        <v>78684.299999999988</v>
      </c>
      <c r="J114" s="711">
        <f>ROUND(IF(E28=0,0,IF(E28&gt;250,-(((250/E28)*I114)*IF(H114="H",0.02,0.05)),IF(H114="H",-0.02*I114,-0.05*I114))),2)</f>
        <v>-3934.22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319156.19000000006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Payments'!R74</f>
        <v>-146911.86000000002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172244.33000000005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28707.39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59:H59"/>
    <mergeCell ref="F62:H62"/>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69" workbookViewId="0">
      <selection activeCell="L101" sqref="L101"/>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438</v>
      </c>
      <c r="B2" s="102"/>
      <c r="C2" s="102"/>
      <c r="D2" s="102"/>
      <c r="E2" s="100"/>
      <c r="F2" s="100"/>
      <c r="G2" s="100"/>
      <c r="H2" s="100"/>
      <c r="I2" s="100"/>
      <c r="J2" s="100"/>
      <c r="K2" s="6"/>
      <c r="L2" s="6"/>
      <c r="M2" s="6"/>
      <c r="N2" s="6"/>
      <c r="O2" s="6"/>
      <c r="P2" s="6"/>
      <c r="Q2" s="6"/>
      <c r="R2" s="873" t="str">
        <f>Revenue_Estimate_Worksheet_for___________Charter_School</f>
        <v>Revenue Estimate Worksheet: Inlet Grove Community High School - 1461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Second'!$C$1:$C$65536,MATCH('1461'!$A$1,'[1]Detail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c r="D12" s="411"/>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c r="D13" s="415"/>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81.5</v>
      </c>
      <c r="D14" s="415">
        <v>81.5</v>
      </c>
      <c r="E14" s="965">
        <f t="shared" si="0"/>
        <v>163</v>
      </c>
      <c r="F14" s="965"/>
      <c r="G14" s="966">
        <v>1</v>
      </c>
      <c r="H14" s="966"/>
      <c r="I14" s="578">
        <f t="shared" si="2"/>
        <v>163</v>
      </c>
      <c r="J14" s="579">
        <f>ROUND(ROUND(ROUND(I14*$E$6,4)*($I$6),2)*(MAX($I$7,1)),2)</f>
        <v>906822.35</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c r="D15" s="415"/>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227.2</v>
      </c>
      <c r="D16" s="415">
        <v>228.67</v>
      </c>
      <c r="E16" s="965">
        <f t="shared" si="0"/>
        <v>455.87</v>
      </c>
      <c r="F16" s="965"/>
      <c r="G16" s="966">
        <v>0.97199999999999998</v>
      </c>
      <c r="H16" s="966"/>
      <c r="I16" s="578">
        <f t="shared" si="2"/>
        <v>443.10559999999998</v>
      </c>
      <c r="J16" s="579">
        <f t="shared" si="1"/>
        <v>2465141.48</v>
      </c>
      <c r="M16" s="2"/>
      <c r="R16" s="858" t="s">
        <v>24</v>
      </c>
      <c r="S16" s="858"/>
      <c r="T16" s="889">
        <f t="shared" si="3"/>
        <v>0</v>
      </c>
      <c r="U16" s="889"/>
      <c r="V16" s="894">
        <v>1</v>
      </c>
      <c r="W16" s="894"/>
      <c r="X16" s="156">
        <f t="shared" si="4"/>
        <v>0</v>
      </c>
      <c r="Y16" s="266">
        <f t="shared" si="6"/>
        <v>0</v>
      </c>
    </row>
    <row r="17" spans="1:25" x14ac:dyDescent="0.25">
      <c r="A17" s="859" t="s">
        <v>25</v>
      </c>
      <c r="B17" s="859"/>
      <c r="C17" s="415">
        <v>40.72</v>
      </c>
      <c r="D17" s="415">
        <v>40.69</v>
      </c>
      <c r="E17" s="965">
        <f t="shared" si="0"/>
        <v>81.41</v>
      </c>
      <c r="F17" s="965"/>
      <c r="G17" s="966">
        <v>0.97199999999999998</v>
      </c>
      <c r="H17" s="966"/>
      <c r="I17" s="578">
        <f t="shared" si="2"/>
        <v>79.130499999999998</v>
      </c>
      <c r="J17" s="579">
        <f t="shared" si="1"/>
        <v>440228.87</v>
      </c>
      <c r="M17" s="2"/>
      <c r="R17" s="858" t="s">
        <v>25</v>
      </c>
      <c r="S17" s="858"/>
      <c r="T17" s="889">
        <f t="shared" si="3"/>
        <v>0</v>
      </c>
      <c r="U17" s="889"/>
      <c r="V17" s="894">
        <v>1</v>
      </c>
      <c r="W17" s="894"/>
      <c r="X17" s="156">
        <f t="shared" si="4"/>
        <v>0</v>
      </c>
      <c r="Y17" s="266">
        <f t="shared" si="6"/>
        <v>0</v>
      </c>
    </row>
    <row r="18" spans="1:25" x14ac:dyDescent="0.25">
      <c r="A18" s="859" t="s">
        <v>26</v>
      </c>
      <c r="B18" s="859"/>
      <c r="C18" s="415"/>
      <c r="D18" s="415"/>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c r="D19" s="415"/>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c r="D20" s="415"/>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c r="D21" s="415"/>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c r="D22" s="415"/>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c r="D23" s="415"/>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c r="D24" s="415"/>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c r="D25" s="415"/>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3.47</v>
      </c>
      <c r="D26" s="415">
        <v>2.61</v>
      </c>
      <c r="E26" s="965">
        <f t="shared" si="0"/>
        <v>6.08</v>
      </c>
      <c r="F26" s="965"/>
      <c r="G26" s="966">
        <v>1.165</v>
      </c>
      <c r="H26" s="966"/>
      <c r="I26" s="578">
        <f t="shared" si="2"/>
        <v>7.0831999999999997</v>
      </c>
      <c r="J26" s="579">
        <f t="shared" si="1"/>
        <v>39406.160000000003</v>
      </c>
      <c r="M26" s="2"/>
      <c r="R26" s="858" t="s">
        <v>34</v>
      </c>
      <c r="S26" s="858"/>
      <c r="T26" s="889">
        <f t="shared" si="3"/>
        <v>0</v>
      </c>
      <c r="U26" s="889"/>
      <c r="V26" s="894">
        <v>1</v>
      </c>
      <c r="W26" s="894"/>
      <c r="X26" s="156">
        <f t="shared" si="4"/>
        <v>0</v>
      </c>
      <c r="Y26" s="266">
        <f t="shared" si="6"/>
        <v>0</v>
      </c>
    </row>
    <row r="27" spans="1:25" x14ac:dyDescent="0.25">
      <c r="A27" s="864" t="s">
        <v>35</v>
      </c>
      <c r="B27" s="864"/>
      <c r="C27" s="416">
        <v>78.709999999999994</v>
      </c>
      <c r="D27" s="416">
        <v>76.48</v>
      </c>
      <c r="E27" s="961">
        <f t="shared" si="0"/>
        <v>155.19</v>
      </c>
      <c r="F27" s="961"/>
      <c r="G27" s="962">
        <v>1.081</v>
      </c>
      <c r="H27" s="962"/>
      <c r="I27" s="22">
        <f t="shared" si="2"/>
        <v>167.7604</v>
      </c>
      <c r="J27" s="127">
        <f t="shared" si="1"/>
        <v>933306.01</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431.59999999999997</v>
      </c>
      <c r="D28" s="126">
        <f>SUM(D12:D27)</f>
        <v>429.95</v>
      </c>
      <c r="E28" s="964">
        <f>SUM(E12:E27)</f>
        <v>861.55</v>
      </c>
      <c r="F28" s="964"/>
      <c r="G28" s="959"/>
      <c r="H28" s="959"/>
      <c r="I28" s="23">
        <f>SUM(I12:I27)</f>
        <v>860.0797</v>
      </c>
      <c r="J28" s="127">
        <f>SUM(J12:J27)</f>
        <v>4784904.87</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860.0797</v>
      </c>
      <c r="H33" s="959" t="s">
        <v>45</v>
      </c>
      <c r="I33" s="959"/>
      <c r="J33" s="32">
        <f>SUM(J32,J28)</f>
        <v>4784904.87</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3884600.52</v>
      </c>
      <c r="H36" s="223" t="s">
        <v>49</v>
      </c>
      <c r="I36" s="38">
        <v>6.6699999999999995E-2</v>
      </c>
      <c r="J36" s="131">
        <f>ROUND(G36*I36,2)</f>
        <v>259102.85</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3884600.52</v>
      </c>
      <c r="H37" s="223" t="s">
        <v>49</v>
      </c>
      <c r="I37" s="38">
        <v>5.4000000000000003E-3</v>
      </c>
      <c r="J37" s="131">
        <f>ROUND(G37*I37,2)</f>
        <v>20976.84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280079.69</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700"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37.82</v>
      </c>
      <c r="D47" s="415">
        <v>37.79</v>
      </c>
      <c r="E47" s="952">
        <f t="shared" si="7"/>
        <v>75.61</v>
      </c>
      <c r="F47" s="952"/>
      <c r="G47" s="47" t="s">
        <v>61</v>
      </c>
      <c r="H47" s="223">
        <v>251</v>
      </c>
      <c r="I47" s="136">
        <f>INDEX('[1]111-112-113 ADDITIONAL FUND'!J$1:J$65536,MATCH($A$1,'[1]111-112-113 ADDITIONAL FUND'!A$1:A$65536))</f>
        <v>835</v>
      </c>
      <c r="J47" s="46">
        <f t="shared" si="8"/>
        <v>63134.35</v>
      </c>
      <c r="M47" s="2"/>
      <c r="R47" s="901"/>
      <c r="S47" s="901"/>
      <c r="T47" s="903"/>
      <c r="U47" s="903"/>
      <c r="V47" s="182" t="s">
        <v>61</v>
      </c>
      <c r="W47" s="239">
        <v>251</v>
      </c>
      <c r="X47" s="134">
        <f t="shared" si="9"/>
        <v>835</v>
      </c>
      <c r="Y47" s="269">
        <f t="shared" si="10"/>
        <v>0</v>
      </c>
    </row>
    <row r="48" spans="1:25" ht="15.75" customHeight="1" x14ac:dyDescent="0.25">
      <c r="A48" s="958"/>
      <c r="B48" s="958"/>
      <c r="C48" s="415">
        <v>2.9</v>
      </c>
      <c r="D48" s="415">
        <v>2.9</v>
      </c>
      <c r="E48" s="952">
        <f t="shared" si="7"/>
        <v>5.8</v>
      </c>
      <c r="F48" s="952"/>
      <c r="G48" s="47" t="s">
        <v>61</v>
      </c>
      <c r="H48" s="223">
        <v>252</v>
      </c>
      <c r="I48" s="136">
        <f>INDEX('[1]111-112-113 ADDITIONAL FUND'!K$1:K$65536,MATCH($A$1,'[1]111-112-113 ADDITIONAL FUND'!A$1:A$65536))</f>
        <v>3168</v>
      </c>
      <c r="J48" s="46">
        <f t="shared" si="8"/>
        <v>18374.400000000001</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233">
        <f>SUM(C41:C49)</f>
        <v>40.72</v>
      </c>
      <c r="D50" s="233">
        <f>SUM(D41:D49)</f>
        <v>40.69</v>
      </c>
      <c r="E50" s="954">
        <f>SUM(E41:E49)</f>
        <v>81.41</v>
      </c>
      <c r="F50" s="954"/>
      <c r="G50" s="910" t="s">
        <v>63</v>
      </c>
      <c r="H50" s="910"/>
      <c r="I50" s="910"/>
      <c r="J50" s="276">
        <f>SUM(J41:J49)</f>
        <v>81508.75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48">
        <f>E28</f>
        <v>861.55</v>
      </c>
      <c r="D53" s="49" t="s">
        <v>66</v>
      </c>
      <c r="G53" s="3"/>
      <c r="H53" s="50" t="s">
        <v>67</v>
      </c>
      <c r="I53" s="702">
        <f>INDEX('[1]Detail 2025-26 FEFP Second'!E$1:E$65536,MATCH(A1,'[1]Detail 2025-26 FEFP Second'!A$1:A$65536))</f>
        <v>215320.92</v>
      </c>
      <c r="J53" s="704"/>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IFERROR(ROUND(C53/I53,6),0)</f>
        <v>4.0010000000000002E-3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C56</f>
        <v>860.0797</v>
      </c>
      <c r="U55" s="184" t="s">
        <v>66</v>
      </c>
      <c r="V55" s="185"/>
      <c r="W55" s="186" t="s">
        <v>71</v>
      </c>
      <c r="X55" s="917">
        <f>I56</f>
        <v>229051.25000000003</v>
      </c>
      <c r="Y55" s="917"/>
    </row>
    <row r="56" spans="1:25" ht="16.5" customHeight="1" x14ac:dyDescent="0.25">
      <c r="A56" s="897" t="s">
        <v>70</v>
      </c>
      <c r="B56" s="897"/>
      <c r="C56" s="48">
        <f>G33</f>
        <v>860.0797</v>
      </c>
      <c r="D56" s="49" t="s">
        <v>66</v>
      </c>
      <c r="G56" s="3"/>
      <c r="H56" s="50" t="s">
        <v>71</v>
      </c>
      <c r="I56" s="702">
        <f>INDEX('[1]Detail 2025-26 FEFP Second'!F$1:F$65536,MATCH(A1,'[1]Detail 2025-26 FEFP Second'!A$1:A$65536))</f>
        <v>229051.25000000003</v>
      </c>
      <c r="J56" s="704"/>
      <c r="M56" s="2"/>
      <c r="R56" s="255"/>
      <c r="S56" s="170"/>
      <c r="T56" s="170"/>
      <c r="U56" s="170"/>
      <c r="V56" s="170"/>
      <c r="W56" s="189" t="s">
        <v>68</v>
      </c>
      <c r="X56" s="918">
        <f>ROUND(T55/X55,6)</f>
        <v>3.7550000000000001E-3</v>
      </c>
      <c r="Y56" s="918"/>
    </row>
    <row r="57" spans="1:25" ht="18.75" customHeight="1" x14ac:dyDescent="0.25">
      <c r="A57" s="237"/>
      <c r="H57" s="53" t="s">
        <v>68</v>
      </c>
      <c r="I57" s="943">
        <f>IFERROR(ROUND(C56/I56,6),0)</f>
        <v>3.7550000000000001E-3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48">
        <f>E28</f>
        <v>861.55</v>
      </c>
      <c r="D59" s="49" t="s">
        <v>66</v>
      </c>
      <c r="F59" s="967" t="s">
        <v>74</v>
      </c>
      <c r="G59" s="967"/>
      <c r="H59" s="967"/>
      <c r="I59" s="702">
        <f>INDEX('[1]Detail 2025-26 FEFP Second'!H$1:H$65536,MATCH(A1,'[1]Detail 2025-26 FEFP Second'!A$1:A$65536))</f>
        <v>186156.17</v>
      </c>
      <c r="J59" s="704"/>
      <c r="M59" s="2"/>
      <c r="R59" s="255"/>
      <c r="S59" s="170"/>
      <c r="T59" s="170"/>
      <c r="U59" s="170"/>
      <c r="V59" s="170"/>
      <c r="W59" s="189" t="s">
        <v>68</v>
      </c>
      <c r="X59" s="918">
        <f>ROUND(T58/X58,6)</f>
        <v>0</v>
      </c>
      <c r="Y59" s="918"/>
    </row>
    <row r="60" spans="1:25" ht="18" customHeight="1" x14ac:dyDescent="0.25">
      <c r="A60" s="237"/>
      <c r="H60" s="53" t="s">
        <v>68</v>
      </c>
      <c r="I60" s="943">
        <f>IFERROR(ROUND(C59/I59,6),0)</f>
        <v>4.6280000000000002E-3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20.25" customHeight="1" x14ac:dyDescent="0.25">
      <c r="A62" s="897" t="s">
        <v>73</v>
      </c>
      <c r="B62" s="897"/>
      <c r="C62" s="48">
        <f>E28</f>
        <v>861.55</v>
      </c>
      <c r="D62" s="49" t="s">
        <v>66</v>
      </c>
      <c r="F62" s="967" t="s">
        <v>76</v>
      </c>
      <c r="G62" s="967"/>
      <c r="H62" s="967"/>
      <c r="I62" s="702">
        <f>INDEX('[1]Detail 2025-26 FEFP Second'!G$1:G$65536,MATCH(A1,'[1]Detail 2025-26 FEFP Second'!A$1:A$65536))</f>
        <v>215016.58000000002</v>
      </c>
      <c r="J62" s="704"/>
      <c r="M62" s="2"/>
      <c r="R62" s="255"/>
      <c r="S62" s="170"/>
      <c r="T62" s="170"/>
      <c r="U62" s="170"/>
      <c r="V62" s="170"/>
      <c r="W62" s="189" t="s">
        <v>68</v>
      </c>
      <c r="X62" s="918">
        <f>ROUND(T61/X61,6)</f>
        <v>0</v>
      </c>
      <c r="Y62" s="918"/>
    </row>
    <row r="63" spans="1:25" ht="19.5" customHeight="1" x14ac:dyDescent="0.25">
      <c r="A63" s="237"/>
      <c r="H63" s="53" t="s">
        <v>68</v>
      </c>
      <c r="I63" s="943">
        <f>IFERROR(ROUND(C62/I62,6),0)</f>
        <v>4.0070000000000001E-3</v>
      </c>
      <c r="J63" s="943"/>
      <c r="L63" s="55"/>
      <c r="M63" s="56"/>
      <c r="O63" s="57"/>
      <c r="P63" s="58"/>
      <c r="R63" s="860" t="s">
        <v>77</v>
      </c>
      <c r="S63" s="860"/>
      <c r="T63" s="860"/>
      <c r="U63" s="860"/>
      <c r="V63" s="860"/>
      <c r="W63" s="860"/>
      <c r="X63" s="860"/>
      <c r="Y63" s="860"/>
    </row>
    <row r="64" spans="1:25" ht="22.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x14ac:dyDescent="0.25">
      <c r="A65" s="897" t="s">
        <v>73</v>
      </c>
      <c r="B65" s="897"/>
      <c r="C65" s="48">
        <f>E28</f>
        <v>861.55</v>
      </c>
      <c r="D65" s="967" t="s">
        <v>551</v>
      </c>
      <c r="E65" s="967"/>
      <c r="F65" s="967"/>
      <c r="G65" s="967"/>
      <c r="H65" s="967"/>
      <c r="I65" s="702">
        <f>INDEX('[1]Detail 2025-26 FEFP Second'!I$1:I$65536,MATCH(A1,'[1]Detail 2025-26 FEFP Second'!A$1:A$65536))</f>
        <v>185851.83000000002</v>
      </c>
      <c r="J65" s="704"/>
      <c r="M65" s="2"/>
      <c r="R65" s="190"/>
      <c r="S65" s="170"/>
      <c r="T65" s="170"/>
      <c r="U65" s="170"/>
      <c r="V65" s="170"/>
      <c r="W65" s="189" t="s">
        <v>68</v>
      </c>
      <c r="X65" s="918">
        <f>ROUND(T64/X64,6)</f>
        <v>0</v>
      </c>
      <c r="Y65" s="918"/>
    </row>
    <row r="66" spans="1:26" ht="19.5" customHeight="1" x14ac:dyDescent="0.25">
      <c r="A66" s="237"/>
      <c r="H66" s="53" t="s">
        <v>68</v>
      </c>
      <c r="I66" s="943">
        <f>IFERROR(ROUND(C65/I65,6),0)</f>
        <v>4.6360000000000004E-3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4.0070000000000001E-3</v>
      </c>
      <c r="J68" s="138">
        <f>ROUND(G68*I68,2)</f>
        <v>189494.02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4.0010000000000002E-3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4.6360000000000004E-3</v>
      </c>
      <c r="J71" s="138">
        <f>ROUND(G71*I71,2)</f>
        <v>88862.3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4.6280000000000002E-3</v>
      </c>
      <c r="J72" s="138">
        <f>ROUND(G72*I72,2)</f>
        <v>53439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v>10.72</v>
      </c>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0.25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69.149999999999991</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6.0330000000000002E-3</v>
      </c>
      <c r="J84" s="62">
        <f>ROUND(G84*I84,2)</f>
        <v>381706.26</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3.7550000000000001E-3</v>
      </c>
      <c r="J85" s="138">
        <f>ROUND(G85*I85,2)</f>
        <v>1009405.12</v>
      </c>
      <c r="K85" s="70"/>
      <c r="L85" s="70"/>
      <c r="M85" s="71"/>
      <c r="N85" s="70"/>
      <c r="O85" s="70"/>
      <c r="P85" s="70"/>
      <c r="Q85" s="70"/>
      <c r="R85" s="860" t="s">
        <v>172</v>
      </c>
      <c r="S85" s="860"/>
      <c r="T85" s="860"/>
      <c r="U85" s="253"/>
      <c r="V85" s="171">
        <f>G85</f>
        <v>268816278</v>
      </c>
      <c r="W85" s="239" t="s">
        <v>81</v>
      </c>
      <c r="X85" s="176">
        <f>X56</f>
        <v>3.7550000000000001E-3</v>
      </c>
      <c r="Y85" s="266">
        <f t="shared" ref="Y85:Y87" si="12">ROUND(V85*X85,2)</f>
        <v>1009405.12</v>
      </c>
    </row>
    <row r="86" spans="1:26" ht="14.25" customHeight="1" x14ac:dyDescent="0.25">
      <c r="A86" s="896" t="s">
        <v>104</v>
      </c>
      <c r="B86" s="896"/>
      <c r="C86" s="896"/>
      <c r="D86" s="896"/>
      <c r="E86" s="896"/>
      <c r="F86" s="248" t="s">
        <v>103</v>
      </c>
      <c r="G86" s="139">
        <v>0</v>
      </c>
      <c r="H86" s="223" t="s">
        <v>81</v>
      </c>
      <c r="I86" s="41">
        <f>I57</f>
        <v>3.7550000000000001E-3</v>
      </c>
      <c r="J86" s="138">
        <f>ROUND(G86*I86,2)</f>
        <v>0</v>
      </c>
      <c r="K86" s="70"/>
      <c r="L86" s="71"/>
      <c r="M86" s="76"/>
      <c r="N86" s="76"/>
      <c r="O86" s="76"/>
      <c r="P86" s="76"/>
      <c r="Q86" s="70"/>
      <c r="R86" s="860" t="s">
        <v>173</v>
      </c>
      <c r="S86" s="860"/>
      <c r="T86" s="860"/>
      <c r="U86" s="253"/>
      <c r="V86" s="203">
        <f>G86</f>
        <v>0</v>
      </c>
      <c r="W86" s="239" t="s">
        <v>81</v>
      </c>
      <c r="X86" s="176">
        <f>X56</f>
        <v>3.7550000000000001E-3</v>
      </c>
      <c r="Y86" s="266">
        <f t="shared" si="12"/>
        <v>0</v>
      </c>
    </row>
    <row r="87" spans="1:26" ht="18" customHeight="1" x14ac:dyDescent="0.25">
      <c r="A87" s="896" t="s">
        <v>105</v>
      </c>
      <c r="B87" s="896"/>
      <c r="C87" s="896"/>
      <c r="D87" s="896"/>
      <c r="E87" s="896"/>
      <c r="F87" s="248" t="s">
        <v>84</v>
      </c>
      <c r="G87" s="139">
        <v>0</v>
      </c>
      <c r="H87" s="223" t="s">
        <v>81</v>
      </c>
      <c r="I87" s="41">
        <f>I54</f>
        <v>4.0010000000000002E-3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163</v>
      </c>
      <c r="C91" s="245"/>
      <c r="D91" s="867">
        <f>I6</f>
        <v>1.0355000000000001</v>
      </c>
      <c r="E91" s="867"/>
      <c r="F91" s="867"/>
      <c r="G91" s="122">
        <f>'[1]Detail 2025-26 FEFP Second'!AC3</f>
        <v>915.09</v>
      </c>
      <c r="H91" s="47" t="s">
        <v>68</v>
      </c>
      <c r="I91" s="140">
        <f>ROUND(B91*D91*G91,2)</f>
        <v>154454.84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697.0797</v>
      </c>
      <c r="C92" s="109"/>
      <c r="D92" s="867">
        <f>I6</f>
        <v>1.0355000000000001</v>
      </c>
      <c r="E92" s="867"/>
      <c r="F92" s="867"/>
      <c r="G92" s="122">
        <f>'[1]Detail 2025-26 FEFP Second'!AD3</f>
        <v>917.3</v>
      </c>
      <c r="H92" s="47" t="s">
        <v>68</v>
      </c>
      <c r="I92" s="141">
        <f>ROUND(B92*D92*G92,2)</f>
        <v>662131.02</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860.0797</v>
      </c>
      <c r="C93" s="109"/>
      <c r="D93" s="109"/>
      <c r="E93" s="937" t="s">
        <v>112</v>
      </c>
      <c r="F93" s="937"/>
      <c r="G93" s="937"/>
      <c r="H93" s="937"/>
      <c r="I93" s="937"/>
      <c r="J93" s="127">
        <f>IF(A1=75,0,I92+I91+I90)</f>
        <v>816585.86</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380</v>
      </c>
      <c r="D97" s="279">
        <v>359</v>
      </c>
      <c r="E97" s="989">
        <f>(C97+D97)/2</f>
        <v>369.5</v>
      </c>
      <c r="F97" s="940"/>
      <c r="G97" s="940"/>
      <c r="H97" s="224" t="s">
        <v>117</v>
      </c>
      <c r="I97" s="130">
        <f>IF(A1&gt;67,0,INDEX('[1]Transportation Per Student'!F$1:F$65536,MATCH(A1,'[1]Transportation Per Student'!B$1:B$65536)))</f>
        <v>617</v>
      </c>
      <c r="J97" s="138">
        <f>ROUND(I97*E97,2)</f>
        <v>227981.5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c r="E98" s="941">
        <f>(C98+D98)/2</f>
        <v>0</v>
      </c>
      <c r="F98" s="941"/>
      <c r="G98" s="9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8"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7633887.6799999997</v>
      </c>
      <c r="R107" s="860" t="s">
        <v>125</v>
      </c>
      <c r="S107" s="860"/>
      <c r="T107" s="860"/>
      <c r="U107" s="860"/>
      <c r="V107" s="860"/>
      <c r="W107" s="860"/>
      <c r="X107" s="860"/>
      <c r="Y107" s="219">
        <f>SUM(Y106,Y105,Y97,Y96,Y93,Y86,Y85,Y84,Y70,Y69,Y67,Y33,Y71,Y50,Y87,Y83)</f>
        <v>1009405.12</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7353807.9899999993</v>
      </c>
      <c r="R109" s="170" t="s">
        <v>180</v>
      </c>
      <c r="S109" s="170"/>
      <c r="T109" s="170"/>
      <c r="U109" s="170"/>
      <c r="V109" s="170"/>
      <c r="W109" s="170"/>
      <c r="X109" s="170"/>
      <c r="Y109" s="220">
        <f>Y107-Y38</f>
        <v>1009405.12</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c r="J111" s="46">
        <f>Y109</f>
        <v>1009405.12</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9" t="s">
        <v>436</v>
      </c>
      <c r="I114" s="710">
        <f>IF(I111=1,J111,J109)</f>
        <v>7353807.9899999993</v>
      </c>
      <c r="J114" s="711">
        <f>ROUND(IF(E28=0,0,IF(E28&gt;250,-(((250/E28)*I114)*IF(H114="H",0.02,0.05)),IF(H114="H",-0.02*I114,-0.05*I114))),2)</f>
        <v>-42677.78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7591209.8999999994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Payments'!R75</f>
        <v>-3634976.71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3956233.1899999995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659372.19999999995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104398.38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62:H62"/>
    <mergeCell ref="F59:H59"/>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workbookViewId="0">
      <selection activeCell="H4" sqref="H4"/>
    </sheetView>
  </sheetViews>
  <sheetFormatPr defaultRowHeight="15.75" x14ac:dyDescent="0.25"/>
  <cols>
    <col min="1" max="1" width="13" style="235" customWidth="1"/>
    <col min="2" max="2" width="33.5703125" style="2" customWidth="1"/>
    <col min="3" max="4" width="14.28515625" style="2" customWidth="1"/>
    <col min="5" max="5" width="8.7109375"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439</v>
      </c>
      <c r="B2" s="102"/>
      <c r="C2" s="102"/>
      <c r="D2" s="102"/>
      <c r="E2" s="100"/>
      <c r="F2" s="100"/>
      <c r="G2" s="100"/>
      <c r="H2" s="100"/>
      <c r="I2" s="100"/>
      <c r="J2" s="100"/>
      <c r="K2" s="6"/>
      <c r="L2" s="6"/>
      <c r="M2" s="6"/>
      <c r="N2" s="6"/>
      <c r="O2" s="6"/>
      <c r="P2" s="6"/>
      <c r="Q2" s="6"/>
      <c r="R2" s="873" t="str">
        <f>Revenue_Estimate_Worksheet_for___________Charter_School</f>
        <v>Revenue Estimate Worksheet: South Tech Charter Academy - 1571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Second'!$C$1:$C$65536,MATCH('1571'!$A$1,'[1]Detail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c r="D12" s="411"/>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c r="D13" s="415"/>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c r="D14" s="415"/>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c r="D15" s="415"/>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301.42</v>
      </c>
      <c r="D16" s="415">
        <v>287.95</v>
      </c>
      <c r="E16" s="965">
        <f t="shared" si="0"/>
        <v>589.37</v>
      </c>
      <c r="F16" s="965"/>
      <c r="G16" s="966">
        <v>0.97199999999999998</v>
      </c>
      <c r="H16" s="966"/>
      <c r="I16" s="578">
        <f t="shared" si="2"/>
        <v>572.86760000000004</v>
      </c>
      <c r="J16" s="579">
        <f t="shared" si="1"/>
        <v>3187049.96</v>
      </c>
      <c r="M16" s="2"/>
      <c r="R16" s="858" t="s">
        <v>24</v>
      </c>
      <c r="S16" s="858"/>
      <c r="T16" s="889">
        <f t="shared" si="3"/>
        <v>0</v>
      </c>
      <c r="U16" s="889"/>
      <c r="V16" s="894">
        <v>1</v>
      </c>
      <c r="W16" s="894"/>
      <c r="X16" s="156">
        <f t="shared" si="4"/>
        <v>0</v>
      </c>
      <c r="Y16" s="266">
        <f t="shared" si="6"/>
        <v>0</v>
      </c>
    </row>
    <row r="17" spans="1:25" x14ac:dyDescent="0.25">
      <c r="A17" s="859" t="s">
        <v>25</v>
      </c>
      <c r="B17" s="859"/>
      <c r="C17" s="415">
        <v>131.08000000000001</v>
      </c>
      <c r="D17" s="415">
        <v>126.49</v>
      </c>
      <c r="E17" s="965">
        <f t="shared" si="0"/>
        <v>257.57</v>
      </c>
      <c r="F17" s="965"/>
      <c r="G17" s="966">
        <v>0.97199999999999998</v>
      </c>
      <c r="H17" s="966"/>
      <c r="I17" s="578">
        <f t="shared" si="2"/>
        <v>250.358</v>
      </c>
      <c r="J17" s="579">
        <f t="shared" si="1"/>
        <v>1392823.5</v>
      </c>
      <c r="M17" s="2"/>
      <c r="R17" s="858" t="s">
        <v>25</v>
      </c>
      <c r="S17" s="858"/>
      <c r="T17" s="889">
        <f t="shared" si="3"/>
        <v>0</v>
      </c>
      <c r="U17" s="889"/>
      <c r="V17" s="894">
        <v>1</v>
      </c>
      <c r="W17" s="894"/>
      <c r="X17" s="156">
        <f t="shared" si="4"/>
        <v>0</v>
      </c>
      <c r="Y17" s="266">
        <f t="shared" si="6"/>
        <v>0</v>
      </c>
    </row>
    <row r="18" spans="1:25" x14ac:dyDescent="0.25">
      <c r="A18" s="859" t="s">
        <v>26</v>
      </c>
      <c r="B18" s="859"/>
      <c r="C18" s="415"/>
      <c r="D18" s="415"/>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c r="D19" s="415"/>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c r="D20" s="415"/>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c r="D21" s="415"/>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c r="D22" s="415"/>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c r="D23" s="415"/>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c r="D24" s="415"/>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c r="D25" s="415"/>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2.36</v>
      </c>
      <c r="D26" s="415">
        <v>1.34</v>
      </c>
      <c r="E26" s="965">
        <f t="shared" si="0"/>
        <v>3.7</v>
      </c>
      <c r="F26" s="965"/>
      <c r="G26" s="966">
        <v>1.165</v>
      </c>
      <c r="H26" s="966"/>
      <c r="I26" s="578">
        <f t="shared" si="2"/>
        <v>4.3105000000000002</v>
      </c>
      <c r="J26" s="579">
        <f t="shared" si="1"/>
        <v>23980.720000000001</v>
      </c>
      <c r="M26" s="2"/>
      <c r="R26" s="858" t="s">
        <v>34</v>
      </c>
      <c r="S26" s="858"/>
      <c r="T26" s="889">
        <f t="shared" si="3"/>
        <v>0</v>
      </c>
      <c r="U26" s="889"/>
      <c r="V26" s="894">
        <v>1</v>
      </c>
      <c r="W26" s="894"/>
      <c r="X26" s="156">
        <f t="shared" si="4"/>
        <v>0</v>
      </c>
      <c r="Y26" s="266">
        <f t="shared" si="6"/>
        <v>0</v>
      </c>
    </row>
    <row r="27" spans="1:25" x14ac:dyDescent="0.25">
      <c r="A27" s="864" t="s">
        <v>35</v>
      </c>
      <c r="B27" s="864"/>
      <c r="C27" s="416">
        <v>120.66</v>
      </c>
      <c r="D27" s="416">
        <v>125.93</v>
      </c>
      <c r="E27" s="961">
        <f t="shared" si="0"/>
        <v>246.59</v>
      </c>
      <c r="F27" s="961"/>
      <c r="G27" s="962">
        <v>1.081</v>
      </c>
      <c r="H27" s="962"/>
      <c r="I27" s="22">
        <f t="shared" si="2"/>
        <v>266.56380000000001</v>
      </c>
      <c r="J27" s="127">
        <f t="shared" si="1"/>
        <v>1482981.67</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555.52</v>
      </c>
      <c r="D28" s="126">
        <f>SUM(D12:D27)</f>
        <v>541.71</v>
      </c>
      <c r="E28" s="990">
        <f>SUM(E12:E27)</f>
        <v>1097.23</v>
      </c>
      <c r="F28" s="990"/>
      <c r="G28" s="959"/>
      <c r="H28" s="959"/>
      <c r="I28" s="23">
        <f>SUM(I12:I27)</f>
        <v>1094.0999000000002</v>
      </c>
      <c r="J28" s="127">
        <f>SUM(J12:J27)</f>
        <v>6086835.8499999996</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1094.0999000000002</v>
      </c>
      <c r="H33" s="959" t="s">
        <v>45</v>
      </c>
      <c r="I33" s="959"/>
      <c r="J33" s="32">
        <f>SUM(J32,J28)</f>
        <v>6086835.8499999996</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6179477.4900000002</v>
      </c>
      <c r="H36" s="223" t="s">
        <v>49</v>
      </c>
      <c r="I36" s="38">
        <v>6.6699999999999995E-2</v>
      </c>
      <c r="J36" s="131">
        <f>ROUND(G36*I36,2)</f>
        <v>412171.15</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6179477.4900000002</v>
      </c>
      <c r="H37" s="223" t="s">
        <v>49</v>
      </c>
      <c r="I37" s="38">
        <v>5.4000000000000003E-3</v>
      </c>
      <c r="J37" s="131">
        <f>ROUND(G37*I37,2)</f>
        <v>33369.18</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445540.33</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119.18</v>
      </c>
      <c r="D47" s="415">
        <v>115.01</v>
      </c>
      <c r="E47" s="952">
        <f t="shared" si="7"/>
        <v>234.19</v>
      </c>
      <c r="F47" s="952"/>
      <c r="G47" s="47" t="s">
        <v>61</v>
      </c>
      <c r="H47" s="223">
        <v>251</v>
      </c>
      <c r="I47" s="136">
        <f>INDEX('[1]111-112-113 ADDITIONAL FUND'!J$1:J$65536,MATCH($A$1,'[1]111-112-113 ADDITIONAL FUND'!A$1:A$65536))</f>
        <v>835</v>
      </c>
      <c r="J47" s="137">
        <f t="shared" si="8"/>
        <v>195548.65</v>
      </c>
      <c r="M47" s="2"/>
      <c r="R47" s="901"/>
      <c r="S47" s="901"/>
      <c r="T47" s="903"/>
      <c r="U47" s="903"/>
      <c r="V47" s="182" t="s">
        <v>61</v>
      </c>
      <c r="W47" s="239">
        <v>251</v>
      </c>
      <c r="X47" s="134">
        <f t="shared" si="9"/>
        <v>835</v>
      </c>
      <c r="Y47" s="269">
        <f t="shared" si="10"/>
        <v>0</v>
      </c>
    </row>
    <row r="48" spans="1:25" ht="15.75" customHeight="1" x14ac:dyDescent="0.25">
      <c r="A48" s="958"/>
      <c r="B48" s="958"/>
      <c r="C48" s="415">
        <v>11.9</v>
      </c>
      <c r="D48" s="415">
        <v>11.48</v>
      </c>
      <c r="E48" s="952">
        <f t="shared" si="7"/>
        <v>23.380000000000003</v>
      </c>
      <c r="F48" s="952"/>
      <c r="G48" s="47" t="s">
        <v>61</v>
      </c>
      <c r="H48" s="223">
        <v>252</v>
      </c>
      <c r="I48" s="136">
        <f>INDEX('[1]111-112-113 ADDITIONAL FUND'!K$1:K$65536,MATCH($A$1,'[1]111-112-113 ADDITIONAL FUND'!A$1:A$65536))</f>
        <v>3168</v>
      </c>
      <c r="J48" s="137">
        <f t="shared" si="8"/>
        <v>74067.839999999997</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233">
        <f>SUM(C41:C49)</f>
        <v>131.08000000000001</v>
      </c>
      <c r="D50" s="233">
        <f>SUM(D41:D49)</f>
        <v>126.49000000000001</v>
      </c>
      <c r="E50" s="954">
        <f>SUM(E41:E49)</f>
        <v>257.57</v>
      </c>
      <c r="F50" s="954"/>
      <c r="G50" s="910" t="s">
        <v>63</v>
      </c>
      <c r="H50" s="910"/>
      <c r="I50" s="910"/>
      <c r="J50" s="276">
        <f>SUM(J41:J49)</f>
        <v>269616.49</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1097.23</v>
      </c>
      <c r="F53" s="49" t="s">
        <v>66</v>
      </c>
      <c r="G53" s="3"/>
      <c r="H53" s="50" t="s">
        <v>67</v>
      </c>
      <c r="I53" s="702">
        <f>INDEX('[1]Detail 2025-26 FEFP Second'!E$1:E$65536,MATCH(A1,'[1]Detail 2025-26 FEFP Second'!A$1:A$65536))</f>
        <v>215320.92</v>
      </c>
      <c r="J53" s="704"/>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5.0959999999999998E-3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1094.0999000000002</v>
      </c>
      <c r="U55" s="184" t="s">
        <v>66</v>
      </c>
      <c r="V55" s="185"/>
      <c r="W55" s="186" t="s">
        <v>71</v>
      </c>
      <c r="X55" s="917">
        <f>I56</f>
        <v>229051.25000000003</v>
      </c>
      <c r="Y55" s="917"/>
    </row>
    <row r="56" spans="1:25" ht="16.5" customHeight="1" x14ac:dyDescent="0.25">
      <c r="A56" s="897" t="s">
        <v>70</v>
      </c>
      <c r="B56" s="897"/>
      <c r="C56" s="237"/>
      <c r="D56" s="237"/>
      <c r="E56" s="48">
        <f>G33</f>
        <v>1094.0999000000002</v>
      </c>
      <c r="F56" s="49" t="s">
        <v>66</v>
      </c>
      <c r="G56" s="3"/>
      <c r="H56" s="50" t="s">
        <v>71</v>
      </c>
      <c r="I56" s="702">
        <f>INDEX('[1]Detail 2025-26 FEFP Second'!F$1:F$65536,MATCH(A1,'[1]Detail 2025-26 FEFP Second'!A$1:A$65536))</f>
        <v>229051.25000000003</v>
      </c>
      <c r="J56" s="704"/>
      <c r="M56" s="2"/>
      <c r="R56" s="255"/>
      <c r="S56" s="170"/>
      <c r="T56" s="170"/>
      <c r="U56" s="170"/>
      <c r="V56" s="170"/>
      <c r="W56" s="189" t="s">
        <v>68</v>
      </c>
      <c r="X56" s="918">
        <f>ROUND(T55/X55,6)</f>
        <v>4.777E-3</v>
      </c>
      <c r="Y56" s="918"/>
    </row>
    <row r="57" spans="1:25" ht="18.75" customHeight="1" x14ac:dyDescent="0.25">
      <c r="A57" s="237"/>
      <c r="H57" s="53" t="s">
        <v>68</v>
      </c>
      <c r="I57" s="943">
        <f>IFERROR(ROUND(E56/I56,6),0)</f>
        <v>4.777E-3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1097.23</v>
      </c>
      <c r="F59" s="49" t="s">
        <v>66</v>
      </c>
      <c r="G59" s="988" t="s">
        <v>74</v>
      </c>
      <c r="H59" s="988"/>
      <c r="I59" s="702">
        <f>INDEX('[1]Detail 2025-26 FEFP Second'!H$1:H$65536,MATCH(A1,'[1]Detail 2025-26 FEFP Second'!A$1:A$65536))</f>
        <v>186156.17</v>
      </c>
      <c r="J59" s="704"/>
      <c r="M59" s="2"/>
      <c r="R59" s="255"/>
      <c r="S59" s="170"/>
      <c r="T59" s="170"/>
      <c r="U59" s="170"/>
      <c r="V59" s="170"/>
      <c r="W59" s="189" t="s">
        <v>68</v>
      </c>
      <c r="X59" s="918">
        <f>ROUND(T58/X58,6)</f>
        <v>0</v>
      </c>
      <c r="Y59" s="918"/>
    </row>
    <row r="60" spans="1:25" ht="18" customHeight="1" x14ac:dyDescent="0.25">
      <c r="A60" s="237"/>
      <c r="H60" s="53" t="s">
        <v>68</v>
      </c>
      <c r="I60" s="943">
        <f>IFERROR(ROUND(E59/I59,6),0)</f>
        <v>5.8939999999999999E-3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1097.23</v>
      </c>
      <c r="F62" s="49" t="s">
        <v>66</v>
      </c>
      <c r="G62" s="988" t="s">
        <v>76</v>
      </c>
      <c r="H62" s="988"/>
      <c r="I62" s="702">
        <f>INDEX('[1]Detail 2025-26 FEFP Second'!G$1:G$65536,MATCH(A1,'[1]Detail 2025-26 FEFP Second'!A$1:A$65536))</f>
        <v>215016.58000000002</v>
      </c>
      <c r="J62" s="704"/>
      <c r="M62" s="2"/>
      <c r="R62" s="255"/>
      <c r="S62" s="170"/>
      <c r="T62" s="170"/>
      <c r="U62" s="170"/>
      <c r="V62" s="170"/>
      <c r="W62" s="189" t="s">
        <v>68</v>
      </c>
      <c r="X62" s="918">
        <f>ROUND(T61/X61,6)</f>
        <v>0</v>
      </c>
      <c r="Y62" s="918"/>
    </row>
    <row r="63" spans="1:25" ht="19.5" customHeight="1" x14ac:dyDescent="0.25">
      <c r="A63" s="237"/>
      <c r="H63" s="53" t="s">
        <v>68</v>
      </c>
      <c r="I63" s="943">
        <f>IFERROR(ROUND(E62/I62,6),0)</f>
        <v>5.1029999999999999E-3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1097.23</v>
      </c>
      <c r="F65" s="49" t="s">
        <v>66</v>
      </c>
      <c r="G65" s="988" t="s">
        <v>78</v>
      </c>
      <c r="H65" s="988"/>
      <c r="I65" s="702">
        <f>INDEX('[1]Detail 2025-26 FEFP Second'!I$1:I$65536,MATCH(A1,'[1]Detail 2025-26 FEFP Second'!A$1:A$65536))</f>
        <v>185851.83000000002</v>
      </c>
      <c r="J65" s="704"/>
      <c r="M65" s="2"/>
      <c r="R65" s="190"/>
      <c r="S65" s="170"/>
      <c r="T65" s="170"/>
      <c r="U65" s="170"/>
      <c r="V65" s="170"/>
      <c r="W65" s="189" t="s">
        <v>68</v>
      </c>
      <c r="X65" s="918">
        <f>ROUND(T64/X64,6)</f>
        <v>0</v>
      </c>
      <c r="Y65" s="918"/>
    </row>
    <row r="66" spans="1:26" ht="19.5" customHeight="1" x14ac:dyDescent="0.25">
      <c r="A66" s="237"/>
      <c r="H66" s="53" t="s">
        <v>68</v>
      </c>
      <c r="I66" s="943">
        <f>IFERROR(ROUND(E65/I65,6),0)</f>
        <v>5.9040000000000004E-3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5.1029999999999999E-3</v>
      </c>
      <c r="J68" s="138">
        <f>ROUND(G68*I68,2)</f>
        <v>241324.68</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5.0959999999999998E-3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5.9040000000000004E-3</v>
      </c>
      <c r="J71" s="138">
        <f>ROUND(G71*I71,2)</f>
        <v>113167.17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5.8939999999999999E-3</v>
      </c>
      <c r="J72" s="138">
        <f>ROUND(G72*I72,2)</f>
        <v>68057.36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v>14.4</v>
      </c>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2</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3.52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123.62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66" t="s">
        <v>101</v>
      </c>
      <c r="B84" s="866"/>
      <c r="C84" s="866"/>
      <c r="D84" s="230"/>
      <c r="G84" s="121">
        <f>INDEX('[1]Detail 2025-26 FEFP Second'!O$1:O$65536,MATCH(A1,'[1]Detail 2025-26 FEFP Second'!A$1:A$65536))</f>
        <v>63269727</v>
      </c>
      <c r="H84" s="223" t="s">
        <v>81</v>
      </c>
      <c r="I84" s="41">
        <f>IFERROR(ROUND(J81/J82,6),0)</f>
        <v>1.0786E-2</v>
      </c>
      <c r="J84" s="62">
        <f>ROUND(G84*I84,2)</f>
        <v>682427.28</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4.777E-3</v>
      </c>
      <c r="J85" s="138">
        <f>ROUND(G85*I85,2)</f>
        <v>1284135.3600000001</v>
      </c>
      <c r="K85" s="70"/>
      <c r="L85" s="70"/>
      <c r="M85" s="71"/>
      <c r="N85" s="70"/>
      <c r="O85" s="70"/>
      <c r="P85" s="70"/>
      <c r="Q85" s="70"/>
      <c r="R85" s="860" t="s">
        <v>172</v>
      </c>
      <c r="S85" s="860"/>
      <c r="T85" s="860"/>
      <c r="U85" s="253"/>
      <c r="V85" s="171">
        <f>G85</f>
        <v>268816278</v>
      </c>
      <c r="W85" s="239" t="s">
        <v>81</v>
      </c>
      <c r="X85" s="176">
        <f>X56</f>
        <v>4.777E-3</v>
      </c>
      <c r="Y85" s="266">
        <f t="shared" ref="Y85:Y87" si="12">ROUND(V85*X85,2)</f>
        <v>1284135.3600000001</v>
      </c>
    </row>
    <row r="86" spans="1:26" ht="14.25" customHeight="1" x14ac:dyDescent="0.25">
      <c r="A86" s="896" t="s">
        <v>104</v>
      </c>
      <c r="B86" s="896"/>
      <c r="C86" s="896"/>
      <c r="D86" s="896"/>
      <c r="E86" s="896"/>
      <c r="F86" s="248" t="s">
        <v>103</v>
      </c>
      <c r="G86" s="139">
        <v>0</v>
      </c>
      <c r="H86" s="223" t="s">
        <v>81</v>
      </c>
      <c r="I86" s="41">
        <f>I57</f>
        <v>4.777E-3</v>
      </c>
      <c r="J86" s="138">
        <f>ROUND(G86*I86,2)</f>
        <v>0</v>
      </c>
      <c r="K86" s="70"/>
      <c r="L86" s="71"/>
      <c r="M86" s="76"/>
      <c r="N86" s="76"/>
      <c r="O86" s="76"/>
      <c r="P86" s="76"/>
      <c r="Q86" s="70"/>
      <c r="R86" s="860" t="s">
        <v>173</v>
      </c>
      <c r="S86" s="860"/>
      <c r="T86" s="860"/>
      <c r="U86" s="253"/>
      <c r="V86" s="203">
        <f>G86</f>
        <v>0</v>
      </c>
      <c r="W86" s="239" t="s">
        <v>81</v>
      </c>
      <c r="X86" s="176">
        <f>X56</f>
        <v>4.777E-3</v>
      </c>
      <c r="Y86" s="266">
        <f t="shared" si="12"/>
        <v>0</v>
      </c>
    </row>
    <row r="87" spans="1:26" ht="18" customHeight="1" x14ac:dyDescent="0.25">
      <c r="A87" s="896" t="s">
        <v>105</v>
      </c>
      <c r="B87" s="896"/>
      <c r="C87" s="896"/>
      <c r="D87" s="896"/>
      <c r="E87" s="896"/>
      <c r="F87" s="248" t="s">
        <v>84</v>
      </c>
      <c r="G87" s="139">
        <v>0</v>
      </c>
      <c r="H87" s="223" t="s">
        <v>81</v>
      </c>
      <c r="I87" s="41">
        <f>I54</f>
        <v>5.0959999999999998E-3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1094.0999000000002</v>
      </c>
      <c r="C92" s="109"/>
      <c r="D92" s="867">
        <f>I6</f>
        <v>1.0355000000000001</v>
      </c>
      <c r="E92" s="867"/>
      <c r="F92" s="867"/>
      <c r="G92" s="122">
        <f>'[1]Detail 2025-26 FEFP Second'!AD3</f>
        <v>917.3</v>
      </c>
      <c r="H92" s="47" t="s">
        <v>68</v>
      </c>
      <c r="I92" s="575">
        <f>ROUND(B92*D92*G92,2)</f>
        <v>1039246.27</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1094.0999000000002</v>
      </c>
      <c r="C93" s="109"/>
      <c r="D93" s="109"/>
      <c r="E93" s="937" t="s">
        <v>112</v>
      </c>
      <c r="F93" s="937"/>
      <c r="G93" s="937"/>
      <c r="H93" s="937"/>
      <c r="I93" s="937"/>
      <c r="J93" s="127">
        <f>IF(A1=75,0,I92+I91+I90)</f>
        <v>1039246.27</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784</v>
      </c>
      <c r="D97" s="279">
        <v>796</v>
      </c>
      <c r="E97" s="991">
        <f>(C97+D97)/2</f>
        <v>790</v>
      </c>
      <c r="F97" s="991"/>
      <c r="G97" s="991"/>
      <c r="H97" s="224" t="s">
        <v>117</v>
      </c>
      <c r="I97" s="130">
        <f>IF(A1&gt;67,0,INDEX('[1]Transportation Per Student'!F$1:F$65536,MATCH(A1,'[1]Transportation Per Student'!B$1:B$65536)))</f>
        <v>617</v>
      </c>
      <c r="J97" s="138">
        <f>ROUND(I97*E97,2)</f>
        <v>487430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c r="E98" s="941">
        <f>(C98+D98)/2</f>
        <v>0</v>
      </c>
      <c r="F98" s="941"/>
      <c r="G98" s="9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8"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10272240.459999999</v>
      </c>
      <c r="R107" s="860" t="s">
        <v>125</v>
      </c>
      <c r="S107" s="860"/>
      <c r="T107" s="860"/>
      <c r="U107" s="860"/>
      <c r="V107" s="860"/>
      <c r="W107" s="860"/>
      <c r="X107" s="860"/>
      <c r="Y107" s="219">
        <f>SUM(Y106,Y105,Y97,Y96,Y93,Y86,Y85,Y84,Y70,Y69,Y67,Y33,Y71,Y50,Y87,Y83)</f>
        <v>1284135.3600000001</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9826700.129999999</v>
      </c>
      <c r="R109" s="170" t="s">
        <v>180</v>
      </c>
      <c r="S109" s="170"/>
      <c r="T109" s="170"/>
      <c r="U109" s="170"/>
      <c r="V109" s="170"/>
      <c r="W109" s="170"/>
      <c r="X109" s="170"/>
      <c r="Y109" s="220">
        <f>Y107-Y38</f>
        <v>1284135.3600000001</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c r="J111" s="46">
        <f>Y109</f>
        <v>1284135.3600000001</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9" t="s">
        <v>436</v>
      </c>
      <c r="I114" s="710">
        <f>IF(I111=1,J111,J109)</f>
        <v>9826700.129999999</v>
      </c>
      <c r="J114" s="711">
        <f>ROUND(IF(E28=0,0,IF(E28&gt;250,-(((250/E28)*I114)*IF(H114="H",0.02,0.05)),IF(H114="H",-0.02*I114,-0.05*I114))),2)</f>
        <v>-44779.58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10227460.879999999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Payments'!R76</f>
        <v>-5062442.5100000007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5165018.3699999982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860836.4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151754.42000000001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67" workbookViewId="0">
      <selection activeCell="Y36" sqref="Y3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440</v>
      </c>
      <c r="B2" s="102"/>
      <c r="C2" s="102"/>
      <c r="D2" s="102"/>
      <c r="E2" s="100"/>
      <c r="F2" s="100"/>
      <c r="G2" s="100"/>
      <c r="H2" s="100"/>
      <c r="I2" s="100"/>
      <c r="J2" s="100"/>
      <c r="K2" s="6"/>
      <c r="L2" s="6"/>
      <c r="M2" s="6"/>
      <c r="N2" s="6"/>
      <c r="O2" s="6"/>
      <c r="P2" s="6"/>
      <c r="Q2" s="6"/>
      <c r="R2" s="873" t="str">
        <f>Revenue_Estimate_Worksheet_for___________Charter_School</f>
        <v>Revenue Estimate Worksheet: Ed Venture Charter School - 2521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Second'!$C$1:$C$65536,MATCH('2521'!$A$1,'[1]Detail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c r="D12" s="411"/>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c r="D13" s="415"/>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c r="D14" s="415"/>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c r="D15" s="415"/>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c r="D16" s="415"/>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26.72</v>
      </c>
      <c r="D17" s="415">
        <v>25.68</v>
      </c>
      <c r="E17" s="965">
        <f t="shared" si="0"/>
        <v>52.4</v>
      </c>
      <c r="F17" s="965"/>
      <c r="G17" s="966">
        <v>0.97199999999999998</v>
      </c>
      <c r="H17" s="966"/>
      <c r="I17" s="578">
        <f t="shared" si="2"/>
        <v>50.9328</v>
      </c>
      <c r="J17" s="579">
        <f t="shared" si="1"/>
        <v>283355.84000000003</v>
      </c>
      <c r="M17" s="2"/>
      <c r="R17" s="858" t="s">
        <v>25</v>
      </c>
      <c r="S17" s="858"/>
      <c r="T17" s="889">
        <f t="shared" si="3"/>
        <v>52.4</v>
      </c>
      <c r="U17" s="889"/>
      <c r="V17" s="894">
        <v>1</v>
      </c>
      <c r="W17" s="894"/>
      <c r="X17" s="156">
        <f t="shared" si="4"/>
        <v>52.4</v>
      </c>
      <c r="Y17" s="266">
        <f t="shared" si="6"/>
        <v>291518.34999999998</v>
      </c>
    </row>
    <row r="18" spans="1:25" x14ac:dyDescent="0.25">
      <c r="A18" s="859" t="s">
        <v>26</v>
      </c>
      <c r="B18" s="859"/>
      <c r="C18" s="415"/>
      <c r="D18" s="415"/>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c r="D19" s="415"/>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10.119999999999999</v>
      </c>
      <c r="D20" s="415">
        <v>10.18</v>
      </c>
      <c r="E20" s="965">
        <f t="shared" si="0"/>
        <v>20.299999999999997</v>
      </c>
      <c r="F20" s="965"/>
      <c r="G20" s="966">
        <v>3.609</v>
      </c>
      <c r="H20" s="966"/>
      <c r="I20" s="578">
        <f t="shared" si="2"/>
        <v>73.262699999999995</v>
      </c>
      <c r="J20" s="579">
        <f t="shared" si="1"/>
        <v>407584.38</v>
      </c>
      <c r="M20" s="2"/>
      <c r="R20" s="858" t="s">
        <v>28</v>
      </c>
      <c r="S20" s="858"/>
      <c r="T20" s="889">
        <f t="shared" si="3"/>
        <v>20.299999999999997</v>
      </c>
      <c r="U20" s="889"/>
      <c r="V20" s="894">
        <v>1</v>
      </c>
      <c r="W20" s="894"/>
      <c r="X20" s="156">
        <f t="shared" si="4"/>
        <v>20.3</v>
      </c>
      <c r="Y20" s="266">
        <f t="shared" si="6"/>
        <v>112935.54</v>
      </c>
    </row>
    <row r="21" spans="1:25" ht="15" customHeight="1" x14ac:dyDescent="0.25">
      <c r="A21" s="859" t="s">
        <v>29</v>
      </c>
      <c r="B21" s="859"/>
      <c r="C21" s="415"/>
      <c r="D21" s="415"/>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c r="D22" s="415"/>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c r="D23" s="415"/>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c r="D24" s="415"/>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c r="D25" s="415"/>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c r="D26" s="415"/>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c r="D27" s="416"/>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36.839999999999996</v>
      </c>
      <c r="D28" s="126">
        <f>SUM(D12:D27)</f>
        <v>35.86</v>
      </c>
      <c r="E28" s="964">
        <f>SUM(E12:E27)</f>
        <v>72.699999999999989</v>
      </c>
      <c r="F28" s="964"/>
      <c r="G28" s="959"/>
      <c r="H28" s="959"/>
      <c r="I28" s="23">
        <f>SUM(I12:I27)</f>
        <v>124.1955</v>
      </c>
      <c r="J28" s="127">
        <f>SUM(J12:J27)</f>
        <v>690940.22</v>
      </c>
      <c r="M28" s="2"/>
      <c r="R28" s="905" t="s">
        <v>36</v>
      </c>
      <c r="S28" s="905"/>
      <c r="T28" s="906">
        <f>SUM(T12:T27)</f>
        <v>72.699999999999989</v>
      </c>
      <c r="U28" s="906"/>
      <c r="V28" s="907"/>
      <c r="W28" s="907"/>
      <c r="X28" s="158">
        <f>SUM(X12:X27)</f>
        <v>72.7</v>
      </c>
      <c r="Y28" s="266">
        <f>SUM(Y12:Y27)</f>
        <v>404453.88999999996</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124.1955</v>
      </c>
      <c r="H33" s="959" t="s">
        <v>45</v>
      </c>
      <c r="I33" s="959"/>
      <c r="J33" s="32">
        <f>SUM(J32,J28)</f>
        <v>690940.22</v>
      </c>
      <c r="M33" s="2"/>
      <c r="R33" s="909" t="s">
        <v>44</v>
      </c>
      <c r="S33" s="909"/>
      <c r="T33" s="909"/>
      <c r="U33" s="909"/>
      <c r="V33" s="164" t="e">
        <f>V32+X28</f>
        <v>#REF!</v>
      </c>
      <c r="W33" s="907" t="s">
        <v>45</v>
      </c>
      <c r="X33" s="907"/>
      <c r="Y33" s="165">
        <f>SUM(Y32,Y28)</f>
        <v>404453.88999999996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707050.5</v>
      </c>
      <c r="H36" s="223" t="s">
        <v>49</v>
      </c>
      <c r="I36" s="38">
        <v>6.6699999999999995E-2</v>
      </c>
      <c r="J36" s="131">
        <f>ROUND(G36*I36,2)</f>
        <v>47160.27</v>
      </c>
      <c r="K36" s="39"/>
      <c r="L36" s="233"/>
      <c r="M36" s="233"/>
      <c r="N36" s="233"/>
      <c r="O36" s="31"/>
      <c r="P36" s="232"/>
      <c r="Q36" s="232"/>
      <c r="R36" s="858" t="s">
        <v>47</v>
      </c>
      <c r="S36" s="858"/>
      <c r="T36" s="858"/>
      <c r="U36" s="253"/>
      <c r="V36" s="172">
        <v>412576.36</v>
      </c>
      <c r="W36" s="239" t="s">
        <v>49</v>
      </c>
      <c r="X36" s="174">
        <v>6.6699999999999995E-2</v>
      </c>
      <c r="Y36" s="266">
        <f>J36</f>
        <v>47160.27</v>
      </c>
    </row>
    <row r="37" spans="1:25" ht="20.25" customHeight="1" x14ac:dyDescent="0.25">
      <c r="A37" s="859" t="s">
        <v>50</v>
      </c>
      <c r="B37" s="859"/>
      <c r="C37" s="859"/>
      <c r="D37" s="859"/>
      <c r="E37" s="859"/>
      <c r="F37" s="248" t="s">
        <v>48</v>
      </c>
      <c r="G37" s="132">
        <v>707050.5</v>
      </c>
      <c r="H37" s="223" t="s">
        <v>49</v>
      </c>
      <c r="I37" s="38">
        <v>5.4000000000000003E-3</v>
      </c>
      <c r="J37" s="131">
        <f>ROUND(G37*I37,2)</f>
        <v>3818.07</v>
      </c>
      <c r="K37" s="39"/>
      <c r="L37" s="233"/>
      <c r="M37" s="233"/>
      <c r="N37" s="233"/>
      <c r="O37" s="31"/>
      <c r="P37" s="232"/>
      <c r="Q37" s="232"/>
      <c r="R37" s="858" t="s">
        <v>50</v>
      </c>
      <c r="S37" s="858"/>
      <c r="T37" s="858"/>
      <c r="U37" s="253"/>
      <c r="V37" s="172">
        <v>412576.36</v>
      </c>
      <c r="W37" s="239" t="s">
        <v>49</v>
      </c>
      <c r="X37" s="174">
        <v>5.4000000000000003E-3</v>
      </c>
      <c r="Y37" s="266">
        <f>J37</f>
        <v>3818.07</v>
      </c>
    </row>
    <row r="38" spans="1:25" ht="20.25" customHeight="1" x14ac:dyDescent="0.25">
      <c r="A38" s="896" t="s">
        <v>51</v>
      </c>
      <c r="B38" s="896"/>
      <c r="C38" s="896"/>
      <c r="D38" s="896"/>
      <c r="E38" s="896"/>
      <c r="F38" s="248" t="s">
        <v>52</v>
      </c>
      <c r="G38" s="40"/>
      <c r="H38" s="223"/>
      <c r="I38" s="41"/>
      <c r="J38" s="131">
        <f>SUM(J36:J37)</f>
        <v>50978.34</v>
      </c>
      <c r="K38" s="39"/>
      <c r="L38" s="233"/>
      <c r="M38" s="233"/>
      <c r="N38" s="233"/>
      <c r="O38" s="31"/>
      <c r="P38" s="232"/>
      <c r="Q38" s="232"/>
      <c r="R38" s="860" t="s">
        <v>51</v>
      </c>
      <c r="S38" s="860"/>
      <c r="T38" s="860"/>
      <c r="U38" s="253" t="s">
        <v>52</v>
      </c>
      <c r="V38" s="175"/>
      <c r="W38" s="239"/>
      <c r="X38" s="176"/>
      <c r="Y38" s="266">
        <f>Y36+Y37</f>
        <v>50978.34</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0.5</v>
      </c>
      <c r="D48" s="415">
        <v>0.48</v>
      </c>
      <c r="E48" s="952">
        <f t="shared" si="7"/>
        <v>0.98</v>
      </c>
      <c r="F48" s="952"/>
      <c r="G48" s="47" t="s">
        <v>61</v>
      </c>
      <c r="H48" s="223">
        <v>252</v>
      </c>
      <c r="I48" s="136">
        <f>INDEX('[1]111-112-113 ADDITIONAL FUND'!K$1:K$65536,MATCH($A$1,'[1]111-112-113 ADDITIONAL FUND'!A$1:A$65536))</f>
        <v>3168</v>
      </c>
      <c r="J48" s="137">
        <f t="shared" si="8"/>
        <v>3104.64</v>
      </c>
      <c r="M48" s="2"/>
      <c r="R48" s="901"/>
      <c r="S48" s="901"/>
      <c r="T48" s="903"/>
      <c r="U48" s="903"/>
      <c r="V48" s="182" t="s">
        <v>61</v>
      </c>
      <c r="W48" s="239">
        <v>252</v>
      </c>
      <c r="X48" s="134">
        <f t="shared" si="9"/>
        <v>3168</v>
      </c>
      <c r="Y48" s="269">
        <f t="shared" si="10"/>
        <v>0</v>
      </c>
    </row>
    <row r="49" spans="1:25" ht="15.75" customHeight="1" thickBot="1" x14ac:dyDescent="0.3">
      <c r="A49" s="958"/>
      <c r="B49" s="958"/>
      <c r="C49" s="415">
        <v>26.22</v>
      </c>
      <c r="D49" s="415">
        <v>25.2</v>
      </c>
      <c r="E49" s="953">
        <f t="shared" si="7"/>
        <v>51.42</v>
      </c>
      <c r="F49" s="953"/>
      <c r="G49" s="47" t="s">
        <v>61</v>
      </c>
      <c r="H49" s="223">
        <v>253</v>
      </c>
      <c r="I49" s="136">
        <f>INDEX('[1]111-112-113 ADDITIONAL FUND'!L$1:L$65536,MATCH($A$1,'[1]111-112-113 ADDITIONAL FUND'!A$1:A$65536))</f>
        <v>6685</v>
      </c>
      <c r="J49" s="137">
        <f t="shared" si="8"/>
        <v>343742.7</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233">
        <f>SUM(C41:C49)</f>
        <v>26.72</v>
      </c>
      <c r="D50" s="233">
        <f>SUM(D41:D49)</f>
        <v>25.68</v>
      </c>
      <c r="E50" s="954">
        <f>SUM(E41:E49)</f>
        <v>52.4</v>
      </c>
      <c r="F50" s="954"/>
      <c r="G50" s="910" t="s">
        <v>63</v>
      </c>
      <c r="H50" s="910"/>
      <c r="I50" s="910"/>
      <c r="J50" s="276">
        <f>SUM(J41:J49)</f>
        <v>346847.34</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72.699999999999989</v>
      </c>
      <c r="U52" s="184" t="s">
        <v>66</v>
      </c>
      <c r="V52" s="185"/>
      <c r="W52" s="186" t="s">
        <v>67</v>
      </c>
      <c r="X52" s="917">
        <f>I53</f>
        <v>215320.92</v>
      </c>
      <c r="Y52" s="917"/>
    </row>
    <row r="53" spans="1:25" ht="16.5" customHeight="1" x14ac:dyDescent="0.25">
      <c r="A53" s="897" t="s">
        <v>65</v>
      </c>
      <c r="B53" s="897"/>
      <c r="C53" s="237"/>
      <c r="D53" s="237"/>
      <c r="E53" s="48">
        <f>E28</f>
        <v>72.699999999999989</v>
      </c>
      <c r="F53" s="49" t="s">
        <v>66</v>
      </c>
      <c r="G53" s="3"/>
      <c r="H53" s="50" t="s">
        <v>67</v>
      </c>
      <c r="I53" s="702">
        <f>INDEX('[1]Detail 2025-26 FEFP Second'!E$1:E$65536,MATCH(A1,'[1]Detail 2025-26 FEFP Second'!A$1:A$65536))</f>
        <v>215320.92</v>
      </c>
      <c r="J53" s="704"/>
      <c r="M53" s="2"/>
      <c r="R53" s="255"/>
      <c r="S53" s="243"/>
      <c r="T53" s="170"/>
      <c r="U53" s="170"/>
      <c r="V53" s="170"/>
      <c r="W53" s="189" t="s">
        <v>68</v>
      </c>
      <c r="X53" s="918">
        <f>ROUND(T52/X52,6)</f>
        <v>3.3799999999999998E-4</v>
      </c>
      <c r="Y53" s="918"/>
    </row>
    <row r="54" spans="1:25" ht="22.5" customHeight="1" x14ac:dyDescent="0.25">
      <c r="A54" s="237"/>
      <c r="B54" s="230"/>
      <c r="C54" s="230"/>
      <c r="D54" s="230"/>
      <c r="H54" s="53" t="s">
        <v>68</v>
      </c>
      <c r="I54" s="943">
        <f>IFERROR(ROUND(E53/I53,6),0)</f>
        <v>3.3799999999999998E-4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72.7</v>
      </c>
      <c r="U55" s="184" t="s">
        <v>66</v>
      </c>
      <c r="V55" s="185"/>
      <c r="W55" s="186" t="s">
        <v>71</v>
      </c>
      <c r="X55" s="917">
        <f>I56</f>
        <v>229051.25000000003</v>
      </c>
      <c r="Y55" s="917"/>
    </row>
    <row r="56" spans="1:25" ht="16.5" customHeight="1" x14ac:dyDescent="0.25">
      <c r="A56" s="897" t="s">
        <v>70</v>
      </c>
      <c r="B56" s="897"/>
      <c r="C56" s="237"/>
      <c r="D56" s="237"/>
      <c r="E56" s="48">
        <f>G33</f>
        <v>124.1955</v>
      </c>
      <c r="F56" s="49" t="s">
        <v>66</v>
      </c>
      <c r="G56" s="3"/>
      <c r="H56" s="50" t="s">
        <v>71</v>
      </c>
      <c r="I56" s="702">
        <f>INDEX('[1]Detail 2025-26 FEFP Second'!F$1:F$65536,MATCH(A1,'[1]Detail 2025-26 FEFP Second'!A$1:A$65536))</f>
        <v>229051.25000000003</v>
      </c>
      <c r="J56" s="704"/>
      <c r="M56" s="2"/>
      <c r="R56" s="255"/>
      <c r="S56" s="170"/>
      <c r="T56" s="170"/>
      <c r="U56" s="170"/>
      <c r="V56" s="170"/>
      <c r="W56" s="189" t="s">
        <v>68</v>
      </c>
      <c r="X56" s="918">
        <f>ROUND(T55/X55,6)</f>
        <v>3.1700000000000001E-4</v>
      </c>
      <c r="Y56" s="918"/>
    </row>
    <row r="57" spans="1:25" ht="18.75" customHeight="1" x14ac:dyDescent="0.25">
      <c r="A57" s="237"/>
      <c r="H57" s="53" t="s">
        <v>68</v>
      </c>
      <c r="I57" s="943">
        <f>IFERROR(ROUND(E56/I56,6),0)</f>
        <v>5.4199999999999995E-4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72.699999999999989</v>
      </c>
      <c r="U58" s="184" t="s">
        <v>66</v>
      </c>
      <c r="V58" s="916" t="s">
        <v>74</v>
      </c>
      <c r="W58" s="916"/>
      <c r="X58" s="917">
        <f>I59</f>
        <v>186156.17</v>
      </c>
      <c r="Y58" s="917"/>
    </row>
    <row r="59" spans="1:25" ht="18.75" customHeight="1" x14ac:dyDescent="0.25">
      <c r="A59" s="897" t="s">
        <v>73</v>
      </c>
      <c r="B59" s="897"/>
      <c r="C59" s="237"/>
      <c r="D59" s="237"/>
      <c r="E59" s="48">
        <f>E28</f>
        <v>72.699999999999989</v>
      </c>
      <c r="F59" s="49" t="s">
        <v>66</v>
      </c>
      <c r="G59" s="988" t="s">
        <v>74</v>
      </c>
      <c r="H59" s="988"/>
      <c r="I59" s="702">
        <f>INDEX('[1]Detail 2025-26 FEFP Second'!H$1:H$65536,MATCH(A1,'[1]Detail 2025-26 FEFP Second'!A$1:A$65536))</f>
        <v>186156.17</v>
      </c>
      <c r="J59" s="704"/>
      <c r="M59" s="2"/>
      <c r="R59" s="255"/>
      <c r="S59" s="170"/>
      <c r="T59" s="170"/>
      <c r="U59" s="170"/>
      <c r="V59" s="170"/>
      <c r="W59" s="189" t="s">
        <v>68</v>
      </c>
      <c r="X59" s="918">
        <f>ROUND(T58/X58,6)</f>
        <v>3.9100000000000002E-4</v>
      </c>
      <c r="Y59" s="918"/>
    </row>
    <row r="60" spans="1:25" ht="18" customHeight="1" x14ac:dyDescent="0.25">
      <c r="A60" s="237"/>
      <c r="H60" s="53" t="s">
        <v>68</v>
      </c>
      <c r="I60" s="943">
        <f>IFERROR(ROUND(E59/I59,6),0)</f>
        <v>3.9100000000000002E-4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72.699999999999989</v>
      </c>
      <c r="U61" s="184" t="s">
        <v>66</v>
      </c>
      <c r="V61" s="916" t="s">
        <v>76</v>
      </c>
      <c r="W61" s="916"/>
      <c r="X61" s="917">
        <f>I62</f>
        <v>215016.58000000002</v>
      </c>
      <c r="Y61" s="917"/>
    </row>
    <row r="62" spans="1:25" x14ac:dyDescent="0.25">
      <c r="A62" s="897" t="s">
        <v>73</v>
      </c>
      <c r="B62" s="897"/>
      <c r="C62" s="237"/>
      <c r="D62" s="237"/>
      <c r="E62" s="48">
        <f>E28</f>
        <v>72.699999999999989</v>
      </c>
      <c r="F62" s="49" t="s">
        <v>66</v>
      </c>
      <c r="G62" s="988" t="s">
        <v>76</v>
      </c>
      <c r="H62" s="988"/>
      <c r="I62" s="702">
        <f>INDEX('[1]Detail 2025-26 FEFP Second'!G$1:G$65536,MATCH(A1,'[1]Detail 2025-26 FEFP Second'!A$1:A$65536))</f>
        <v>215016.58000000002</v>
      </c>
      <c r="J62" s="704"/>
      <c r="M62" s="2"/>
      <c r="R62" s="255"/>
      <c r="S62" s="170"/>
      <c r="T62" s="170"/>
      <c r="U62" s="170"/>
      <c r="V62" s="170"/>
      <c r="W62" s="189" t="s">
        <v>68</v>
      </c>
      <c r="X62" s="918">
        <f>ROUND(T61/X61,6)</f>
        <v>3.3799999999999998E-4</v>
      </c>
      <c r="Y62" s="918"/>
    </row>
    <row r="63" spans="1:25" ht="19.5" customHeight="1" x14ac:dyDescent="0.25">
      <c r="A63" s="237"/>
      <c r="H63" s="53" t="s">
        <v>68</v>
      </c>
      <c r="I63" s="943">
        <f>IFERROR(ROUND(E62/I62,6),0)</f>
        <v>3.3799999999999998E-4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72.699999999999989</v>
      </c>
      <c r="U64" s="184" t="s">
        <v>66</v>
      </c>
      <c r="V64" s="992" t="s">
        <v>165</v>
      </c>
      <c r="W64" s="992"/>
      <c r="X64" s="917">
        <f>I65</f>
        <v>185851.83000000002</v>
      </c>
      <c r="Y64" s="917"/>
    </row>
    <row r="65" spans="1:26" ht="49.5" customHeight="1" x14ac:dyDescent="0.25">
      <c r="A65" s="897" t="s">
        <v>73</v>
      </c>
      <c r="B65" s="897"/>
      <c r="C65" s="237"/>
      <c r="D65" s="237"/>
      <c r="E65" s="48">
        <f>E28</f>
        <v>72.699999999999989</v>
      </c>
      <c r="F65" s="49" t="s">
        <v>66</v>
      </c>
      <c r="G65" s="988" t="s">
        <v>78</v>
      </c>
      <c r="H65" s="988"/>
      <c r="I65" s="702">
        <f>INDEX('[1]Detail 2025-26 FEFP Second'!I$1:I$65536,MATCH(A1,'[1]Detail 2025-26 FEFP Second'!A$1:A$65536))</f>
        <v>185851.83000000002</v>
      </c>
      <c r="J65" s="704"/>
      <c r="M65" s="2"/>
      <c r="R65" s="190"/>
      <c r="S65" s="170"/>
      <c r="T65" s="170"/>
      <c r="U65" s="170"/>
      <c r="V65" s="170"/>
      <c r="W65" s="189" t="s">
        <v>68</v>
      </c>
      <c r="X65" s="918">
        <f>ROUND(T64/X64,6)</f>
        <v>3.9100000000000002E-4</v>
      </c>
      <c r="Y65" s="918"/>
    </row>
    <row r="66" spans="1:26" ht="19.5" customHeight="1" x14ac:dyDescent="0.25">
      <c r="A66" s="237"/>
      <c r="H66" s="53" t="s">
        <v>68</v>
      </c>
      <c r="I66" s="943">
        <f>IFERROR(ROUND(E65/I65,6),0)</f>
        <v>3.9100000000000002E-4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3.3799999999999998E-4</v>
      </c>
      <c r="Y67" s="271">
        <f>ROUND(V67*X67,2)</f>
        <v>15984.27</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3.3799999999999998E-4</v>
      </c>
      <c r="J68" s="138">
        <f>ROUND(G68*I68,2)</f>
        <v>15984.27</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3.3799999999999998E-4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3.3799999999999998E-4</v>
      </c>
      <c r="J70" s="138">
        <f>ROUND(G70*I70,2)</f>
        <v>0</v>
      </c>
      <c r="M70" s="2"/>
      <c r="R70" s="860" t="s">
        <v>167</v>
      </c>
      <c r="S70" s="860"/>
      <c r="T70" s="860"/>
      <c r="U70" s="253"/>
      <c r="V70" s="193">
        <f>G71</f>
        <v>19167881</v>
      </c>
      <c r="W70" s="239" t="s">
        <v>81</v>
      </c>
      <c r="X70" s="176">
        <f>X65</f>
        <v>3.9100000000000002E-4</v>
      </c>
      <c r="Y70" s="266">
        <f t="shared" si="11"/>
        <v>7494.64</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3.9100000000000002E-4</v>
      </c>
      <c r="J71" s="138">
        <f>ROUND(G71*I71,2)</f>
        <v>7494.64</v>
      </c>
      <c r="M71" s="2"/>
      <c r="R71" s="240" t="s">
        <v>168</v>
      </c>
      <c r="S71" s="240"/>
      <c r="T71" s="240"/>
      <c r="U71" s="253"/>
      <c r="V71" s="171">
        <f>G72</f>
        <v>11546889</v>
      </c>
      <c r="W71" s="239" t="s">
        <v>81</v>
      </c>
      <c r="X71" s="176">
        <f>X59</f>
        <v>3.9100000000000002E-4</v>
      </c>
      <c r="Y71" s="266">
        <f t="shared" si="11"/>
        <v>4514.83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3.9100000000000002E-4</v>
      </c>
      <c r="J72" s="138">
        <f>ROUND(G72*I72,2)</f>
        <v>4514.83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v>0.25</v>
      </c>
      <c r="Z78" s="72"/>
    </row>
    <row r="79" spans="1:26" ht="18.75" customHeight="1" x14ac:dyDescent="0.25">
      <c r="A79" s="837" t="s">
        <v>97</v>
      </c>
      <c r="B79" s="837"/>
      <c r="C79" s="236"/>
      <c r="D79" s="236"/>
      <c r="E79" s="65"/>
      <c r="F79" s="65"/>
      <c r="G79" s="65"/>
      <c r="H79" s="65"/>
      <c r="I79" s="65"/>
      <c r="J79" s="129">
        <v>0.25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0.25</v>
      </c>
      <c r="Z80" s="72"/>
    </row>
    <row r="81" spans="1:26" ht="17.25" customHeight="1" x14ac:dyDescent="0.25">
      <c r="A81" s="233"/>
      <c r="B81" s="233"/>
      <c r="C81" s="233"/>
      <c r="D81" s="233"/>
      <c r="E81" s="233"/>
      <c r="F81" s="233"/>
      <c r="G81" s="31"/>
      <c r="H81" s="232"/>
      <c r="I81" s="232" t="s">
        <v>99</v>
      </c>
      <c r="J81" s="74">
        <f>SUM(J75:J80)</f>
        <v>0.25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2.1999999999999999E-5</v>
      </c>
      <c r="Y83" s="266">
        <f>ROUND(V83*X83,2)</f>
        <v>1391.93</v>
      </c>
      <c r="Z83" s="72"/>
    </row>
    <row r="84" spans="1:26" ht="21" customHeight="1" x14ac:dyDescent="0.25">
      <c r="A84" s="866" t="s">
        <v>101</v>
      </c>
      <c r="B84" s="866"/>
      <c r="C84" s="866"/>
      <c r="D84" s="230"/>
      <c r="G84" s="121">
        <f>INDEX('[1]Detail 2025-26 FEFP Second'!O$1:O$65536,MATCH(A1,'[1]Detail 2025-26 FEFP Second'!A$1:A$65536))</f>
        <v>63269727</v>
      </c>
      <c r="H84" s="223" t="s">
        <v>81</v>
      </c>
      <c r="I84" s="41">
        <f>IFERROR(ROUND(J81/J82,6),0)</f>
        <v>2.1999999999999999E-5</v>
      </c>
      <c r="J84" s="138">
        <f>ROUND(G84*I84,2)</f>
        <v>1391.93</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5.4199999999999995E-4</v>
      </c>
      <c r="J85" s="138">
        <f>ROUND(G85*I85,2)</f>
        <v>145698.42000000001</v>
      </c>
      <c r="K85" s="70"/>
      <c r="L85" s="70"/>
      <c r="M85" s="71"/>
      <c r="N85" s="70"/>
      <c r="O85" s="70"/>
      <c r="P85" s="70"/>
      <c r="Q85" s="70"/>
      <c r="R85" s="860" t="s">
        <v>172</v>
      </c>
      <c r="S85" s="860"/>
      <c r="T85" s="860"/>
      <c r="U85" s="253"/>
      <c r="V85" s="171">
        <f>G85</f>
        <v>268816278</v>
      </c>
      <c r="W85" s="239" t="s">
        <v>81</v>
      </c>
      <c r="X85" s="176">
        <f>X56</f>
        <v>3.1700000000000001E-4</v>
      </c>
      <c r="Y85" s="266">
        <f t="shared" ref="Y85:Y87" si="12">ROUND(V85*X85,2)</f>
        <v>85214.76</v>
      </c>
    </row>
    <row r="86" spans="1:26" ht="14.25" customHeight="1" x14ac:dyDescent="0.25">
      <c r="A86" s="896" t="s">
        <v>104</v>
      </c>
      <c r="B86" s="896"/>
      <c r="C86" s="896"/>
      <c r="D86" s="896"/>
      <c r="E86" s="896"/>
      <c r="F86" s="248" t="s">
        <v>103</v>
      </c>
      <c r="G86" s="139">
        <v>0</v>
      </c>
      <c r="H86" s="223" t="s">
        <v>81</v>
      </c>
      <c r="I86" s="41">
        <f>I57</f>
        <v>5.4199999999999995E-4</v>
      </c>
      <c r="J86" s="138">
        <f>ROUND(G86*I86,2)</f>
        <v>0</v>
      </c>
      <c r="K86" s="70"/>
      <c r="L86" s="71"/>
      <c r="M86" s="76"/>
      <c r="N86" s="76"/>
      <c r="O86" s="76"/>
      <c r="P86" s="76"/>
      <c r="Q86" s="70"/>
      <c r="R86" s="860" t="s">
        <v>173</v>
      </c>
      <c r="S86" s="860"/>
      <c r="T86" s="860"/>
      <c r="U86" s="253"/>
      <c r="V86" s="203">
        <f>G86</f>
        <v>0</v>
      </c>
      <c r="W86" s="239" t="s">
        <v>81</v>
      </c>
      <c r="X86" s="176">
        <f>X56</f>
        <v>3.1700000000000001E-4</v>
      </c>
      <c r="Y86" s="266">
        <f t="shared" si="12"/>
        <v>0</v>
      </c>
    </row>
    <row r="87" spans="1:26" ht="18" customHeight="1" x14ac:dyDescent="0.25">
      <c r="A87" s="896" t="s">
        <v>105</v>
      </c>
      <c r="B87" s="896"/>
      <c r="C87" s="896"/>
      <c r="D87" s="896"/>
      <c r="E87" s="896"/>
      <c r="F87" s="248" t="s">
        <v>84</v>
      </c>
      <c r="G87" s="139">
        <v>0</v>
      </c>
      <c r="H87" s="223" t="s">
        <v>81</v>
      </c>
      <c r="I87" s="41">
        <f>I54</f>
        <v>3.3799999999999998E-4</v>
      </c>
      <c r="J87" s="62">
        <f>ROUND(G87*I87,2)</f>
        <v>0</v>
      </c>
      <c r="K87" s="77"/>
      <c r="L87" s="70"/>
      <c r="M87" s="71"/>
      <c r="N87" s="70"/>
      <c r="O87" s="70"/>
      <c r="P87" s="70"/>
      <c r="Q87" s="70"/>
      <c r="R87" s="240" t="s">
        <v>174</v>
      </c>
      <c r="S87" s="240"/>
      <c r="T87" s="240"/>
      <c r="U87" s="253"/>
      <c r="V87" s="203">
        <f>G87</f>
        <v>0</v>
      </c>
      <c r="W87" s="239" t="s">
        <v>81</v>
      </c>
      <c r="X87" s="176">
        <f>X53</f>
        <v>3.3799999999999998E-4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124.1955</v>
      </c>
      <c r="C92" s="109"/>
      <c r="D92" s="867">
        <f>I6</f>
        <v>1.0355000000000001</v>
      </c>
      <c r="E92" s="867"/>
      <c r="F92" s="867"/>
      <c r="G92" s="122">
        <f>'[1]Detail 2025-26 FEFP Second'!AD3</f>
        <v>917.3</v>
      </c>
      <c r="H92" s="47" t="s">
        <v>68</v>
      </c>
      <c r="I92" s="575">
        <f>ROUND(B92*D92*G92,2)</f>
        <v>117968.85</v>
      </c>
      <c r="K92" s="70"/>
      <c r="L92" s="70"/>
      <c r="M92" s="71"/>
      <c r="N92" s="70"/>
      <c r="O92" s="70"/>
      <c r="P92" s="70"/>
      <c r="Q92" s="70"/>
      <c r="R92" s="207" t="s">
        <v>61</v>
      </c>
      <c r="S92" s="208">
        <f>X16+X17+X20+X23+X26+X27</f>
        <v>72.7</v>
      </c>
      <c r="T92" s="922">
        <f>X6</f>
        <v>1.0355000000000001</v>
      </c>
      <c r="U92" s="922"/>
      <c r="V92" s="122">
        <f>G92</f>
        <v>917.3</v>
      </c>
      <c r="W92" s="182" t="s">
        <v>68</v>
      </c>
      <c r="X92" s="272">
        <f>ROUND(S92*T92*V92,2)</f>
        <v>69055.12</v>
      </c>
      <c r="Y92" s="170"/>
    </row>
    <row r="93" spans="1:26" ht="18.75" customHeight="1" thickBot="1" x14ac:dyDescent="0.3">
      <c r="A93" s="247" t="s">
        <v>111</v>
      </c>
      <c r="B93" s="109">
        <f>SUM(B90:B92)</f>
        <v>124.1955</v>
      </c>
      <c r="C93" s="109"/>
      <c r="D93" s="109"/>
      <c r="E93" s="937" t="s">
        <v>112</v>
      </c>
      <c r="F93" s="937"/>
      <c r="G93" s="937"/>
      <c r="H93" s="937"/>
      <c r="I93" s="937"/>
      <c r="J93" s="127">
        <f>IF(A1=75,0,I92+I91+I90)</f>
        <v>117968.85</v>
      </c>
      <c r="K93" s="70"/>
      <c r="L93" s="70"/>
      <c r="M93" s="71"/>
      <c r="N93" s="70"/>
      <c r="O93" s="70"/>
      <c r="P93" s="70"/>
      <c r="Q93" s="70"/>
      <c r="R93" s="252" t="s">
        <v>111</v>
      </c>
      <c r="S93" s="210">
        <f>SUM(S90:S92)</f>
        <v>72.7</v>
      </c>
      <c r="T93" s="923" t="s">
        <v>112</v>
      </c>
      <c r="U93" s="924"/>
      <c r="V93" s="924"/>
      <c r="W93" s="924"/>
      <c r="X93" s="924"/>
      <c r="Y93" s="266">
        <f>IF(R1=75,0,X92+X91+X90)</f>
        <v>69055.12</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35</v>
      </c>
      <c r="U96" s="928"/>
      <c r="V96" s="928"/>
      <c r="W96" s="261" t="s">
        <v>117</v>
      </c>
      <c r="X96" s="212">
        <f>I97</f>
        <v>617</v>
      </c>
      <c r="Y96" s="266">
        <f>ROUND(X96*T96,2)</f>
        <v>21595</v>
      </c>
    </row>
    <row r="97" spans="1:25" ht="17.25" customHeight="1" x14ac:dyDescent="0.25">
      <c r="A97" s="910" t="s">
        <v>116</v>
      </c>
      <c r="B97" s="910"/>
      <c r="C97" s="279">
        <v>36</v>
      </c>
      <c r="D97" s="279">
        <v>34</v>
      </c>
      <c r="E97" s="940">
        <f>(C97+D97)/2</f>
        <v>35</v>
      </c>
      <c r="F97" s="940"/>
      <c r="G97" s="940"/>
      <c r="H97" s="224" t="s">
        <v>117</v>
      </c>
      <c r="I97" s="130">
        <f>IF(A1&gt;67,0,INDEX('[1]Transportation Per Student'!F$1:F$65536,MATCH(A1,'[1]Transportation Per Student'!B$1:B$65536)))</f>
        <v>617</v>
      </c>
      <c r="J97" s="138">
        <f>ROUND(I97*E97,2)</f>
        <v>21595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c r="E98" s="941">
        <f>(C98+D98)/2</f>
        <v>0</v>
      </c>
      <c r="F98" s="941"/>
      <c r="G98" s="9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95">
        <f>SUM(J106,J105,J98,J97,J93,J86,J85,J71,J70,J68,J33,J72,J50,J87,J84)</f>
        <v>1352435.5</v>
      </c>
      <c r="L107" s="576"/>
      <c r="R107" s="860" t="s">
        <v>125</v>
      </c>
      <c r="S107" s="860"/>
      <c r="T107" s="860"/>
      <c r="U107" s="860"/>
      <c r="V107" s="860"/>
      <c r="W107" s="860"/>
      <c r="X107" s="860"/>
      <c r="Y107" s="219">
        <f>SUM(Y106,Y105,Y97,Y96,Y93,Y86,Y85,Y84,Y70,Y69,Y67,Y33,Y71,Y50,Y87,Y83)</f>
        <v>609704.43999999994</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96">
        <f>J107-J38</f>
        <v>1301457.1599999999</v>
      </c>
      <c r="R109" s="170" t="s">
        <v>180</v>
      </c>
      <c r="S109" s="170"/>
      <c r="T109" s="170"/>
      <c r="U109" s="170"/>
      <c r="V109" s="170"/>
      <c r="W109" s="170"/>
      <c r="X109" s="170"/>
      <c r="Y109" s="220">
        <f>Y107-Y38</f>
        <v>558726.1</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v>1</v>
      </c>
      <c r="J111" s="46">
        <f>Y109</f>
        <v>558726.1</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558726.1</v>
      </c>
      <c r="J114" s="711">
        <f>ROUND(IF(E28=0,0,IF(E28&gt;250,-(((250/E28)*I114)*IF(H113="H",0.02,0.05)),IF(H113="H",-0.02*I114,-0.05*I114))),2)</f>
        <v>-27936.31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1324499.19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Payments'!R77</f>
        <v>-666268.92000000004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658230.2699999999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109705.05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D77" workbookViewId="0">
      <selection activeCell="T97" sqref="T97:V97"/>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441</v>
      </c>
      <c r="B2" s="102"/>
      <c r="C2" s="102"/>
      <c r="D2" s="102"/>
      <c r="E2" s="100"/>
      <c r="F2" s="100"/>
      <c r="G2" s="100"/>
      <c r="H2" s="100"/>
      <c r="I2" s="100"/>
      <c r="J2" s="100"/>
      <c r="K2" s="6"/>
      <c r="L2" s="6"/>
      <c r="M2" s="6"/>
      <c r="N2" s="6"/>
      <c r="O2" s="6"/>
      <c r="P2" s="6"/>
      <c r="Q2" s="6"/>
      <c r="R2" s="873" t="str">
        <f>Revenue_Estimate_Worksheet_for___________Charter_School</f>
        <v>Revenue Estimate Worksheet: Bodwell Academy - 2531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Second'!$C$1:$C$65536,MATCH('2531'!$A$1,'[1]Detail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0.47</v>
      </c>
      <c r="E15" s="965">
        <f t="shared" si="0"/>
        <v>0.47</v>
      </c>
      <c r="F15" s="965"/>
      <c r="G15" s="966">
        <v>1</v>
      </c>
      <c r="H15" s="966"/>
      <c r="I15" s="578">
        <f t="shared" si="2"/>
        <v>0.47</v>
      </c>
      <c r="J15" s="579">
        <f t="shared" si="1"/>
        <v>2614.7600000000002</v>
      </c>
      <c r="M15" s="2"/>
      <c r="R15" s="858" t="s">
        <v>23</v>
      </c>
      <c r="S15" s="858"/>
      <c r="T15" s="889">
        <f t="shared" si="3"/>
        <v>0.47</v>
      </c>
      <c r="U15" s="889"/>
      <c r="V15" s="894">
        <v>1</v>
      </c>
      <c r="W15" s="894"/>
      <c r="X15" s="156">
        <f t="shared" si="4"/>
        <v>0.47</v>
      </c>
      <c r="Y15" s="266">
        <f t="shared" ref="Y15:Y27" si="6">ROUND(ROUND(ROUND(X15*$E$6,4)*($I$6),2)*(MAX($I$7,1)),2)</f>
        <v>2614.7600000000002</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9.4700000000000006</v>
      </c>
      <c r="D17" s="415">
        <v>9.9700000000000006</v>
      </c>
      <c r="E17" s="965">
        <f t="shared" si="0"/>
        <v>19.440000000000001</v>
      </c>
      <c r="F17" s="965"/>
      <c r="G17" s="966">
        <v>0.97199999999999998</v>
      </c>
      <c r="H17" s="966"/>
      <c r="I17" s="578">
        <f t="shared" si="2"/>
        <v>18.895700000000001</v>
      </c>
      <c r="J17" s="579">
        <f t="shared" si="1"/>
        <v>105122.96</v>
      </c>
      <c r="M17" s="2"/>
      <c r="R17" s="858" t="s">
        <v>25</v>
      </c>
      <c r="S17" s="858"/>
      <c r="T17" s="889">
        <f t="shared" si="3"/>
        <v>19.440000000000001</v>
      </c>
      <c r="U17" s="889"/>
      <c r="V17" s="894">
        <v>1</v>
      </c>
      <c r="W17" s="894"/>
      <c r="X17" s="156">
        <f t="shared" si="4"/>
        <v>19.440000000000001</v>
      </c>
      <c r="Y17" s="266">
        <f t="shared" si="6"/>
        <v>108151.08</v>
      </c>
    </row>
    <row r="18" spans="1:25" x14ac:dyDescent="0.25">
      <c r="A18" s="859" t="s">
        <v>26</v>
      </c>
      <c r="B18" s="859"/>
      <c r="C18" s="415">
        <v>0.5</v>
      </c>
      <c r="D18" s="415">
        <v>0.7</v>
      </c>
      <c r="E18" s="965">
        <f t="shared" si="0"/>
        <v>1.2</v>
      </c>
      <c r="F18" s="965"/>
      <c r="G18" s="966">
        <v>3.609</v>
      </c>
      <c r="H18" s="966"/>
      <c r="I18" s="578">
        <f t="shared" si="2"/>
        <v>4.3308</v>
      </c>
      <c r="J18" s="579">
        <f t="shared" si="1"/>
        <v>24093.66</v>
      </c>
      <c r="M18" s="2"/>
      <c r="R18" s="858" t="s">
        <v>26</v>
      </c>
      <c r="S18" s="858"/>
      <c r="T18" s="889">
        <f t="shared" si="3"/>
        <v>1.2</v>
      </c>
      <c r="U18" s="889"/>
      <c r="V18" s="894">
        <v>1</v>
      </c>
      <c r="W18" s="894"/>
      <c r="X18" s="156">
        <f t="shared" si="4"/>
        <v>1.2</v>
      </c>
      <c r="Y18" s="266">
        <f t="shared" si="6"/>
        <v>6675.99</v>
      </c>
    </row>
    <row r="19" spans="1:25" x14ac:dyDescent="0.25">
      <c r="A19" s="859" t="s">
        <v>27</v>
      </c>
      <c r="B19" s="859"/>
      <c r="C19" s="415">
        <v>1</v>
      </c>
      <c r="D19" s="415">
        <v>1.4</v>
      </c>
      <c r="E19" s="965">
        <f t="shared" si="0"/>
        <v>2.4</v>
      </c>
      <c r="F19" s="965"/>
      <c r="G19" s="966">
        <v>3.609</v>
      </c>
      <c r="H19" s="966"/>
      <c r="I19" s="578">
        <f t="shared" si="2"/>
        <v>8.6616</v>
      </c>
      <c r="J19" s="579">
        <f t="shared" si="1"/>
        <v>48187.32</v>
      </c>
      <c r="M19" s="2"/>
      <c r="R19" s="858" t="s">
        <v>27</v>
      </c>
      <c r="S19" s="858"/>
      <c r="T19" s="889">
        <f t="shared" si="3"/>
        <v>2.4</v>
      </c>
      <c r="U19" s="889"/>
      <c r="V19" s="894">
        <v>1</v>
      </c>
      <c r="W19" s="894"/>
      <c r="X19" s="156">
        <f t="shared" si="4"/>
        <v>2.4</v>
      </c>
      <c r="Y19" s="266">
        <f t="shared" si="6"/>
        <v>13351.99</v>
      </c>
    </row>
    <row r="20" spans="1:25" x14ac:dyDescent="0.25">
      <c r="A20" s="859" t="s">
        <v>28</v>
      </c>
      <c r="B20" s="859"/>
      <c r="C20" s="415">
        <v>1</v>
      </c>
      <c r="D20" s="415">
        <v>1.4</v>
      </c>
      <c r="E20" s="965">
        <f t="shared" si="0"/>
        <v>2.4</v>
      </c>
      <c r="F20" s="965"/>
      <c r="G20" s="966">
        <v>3.609</v>
      </c>
      <c r="H20" s="966"/>
      <c r="I20" s="578">
        <f t="shared" si="2"/>
        <v>8.6616</v>
      </c>
      <c r="J20" s="579">
        <f t="shared" si="1"/>
        <v>48187.32</v>
      </c>
      <c r="M20" s="2"/>
      <c r="R20" s="858" t="s">
        <v>28</v>
      </c>
      <c r="S20" s="858"/>
      <c r="T20" s="889">
        <f t="shared" si="3"/>
        <v>2.4</v>
      </c>
      <c r="U20" s="889"/>
      <c r="V20" s="894">
        <v>1</v>
      </c>
      <c r="W20" s="894"/>
      <c r="X20" s="156">
        <f t="shared" si="4"/>
        <v>2.4</v>
      </c>
      <c r="Y20" s="266">
        <f t="shared" si="6"/>
        <v>13351.99</v>
      </c>
    </row>
    <row r="21" spans="1:25" ht="15" customHeight="1" x14ac:dyDescent="0.25">
      <c r="A21" s="859" t="s">
        <v>29</v>
      </c>
      <c r="B21" s="859"/>
      <c r="C21" s="415">
        <v>4.01</v>
      </c>
      <c r="D21" s="415">
        <v>3.99</v>
      </c>
      <c r="E21" s="965">
        <f t="shared" si="0"/>
        <v>8</v>
      </c>
      <c r="F21" s="965"/>
      <c r="G21" s="966">
        <v>6.0640000000000001</v>
      </c>
      <c r="H21" s="966"/>
      <c r="I21" s="578">
        <f t="shared" si="2"/>
        <v>48.512</v>
      </c>
      <c r="J21" s="579">
        <f t="shared" si="1"/>
        <v>269888.13</v>
      </c>
      <c r="M21" s="2"/>
      <c r="R21" s="858" t="s">
        <v>29</v>
      </c>
      <c r="S21" s="858"/>
      <c r="T21" s="889">
        <f t="shared" si="3"/>
        <v>8</v>
      </c>
      <c r="U21" s="889"/>
      <c r="V21" s="894">
        <v>1</v>
      </c>
      <c r="W21" s="894"/>
      <c r="X21" s="156">
        <f t="shared" si="4"/>
        <v>8</v>
      </c>
      <c r="Y21" s="266">
        <f t="shared" si="6"/>
        <v>44506.62</v>
      </c>
    </row>
    <row r="22" spans="1:25" ht="15" customHeight="1" x14ac:dyDescent="0.25">
      <c r="A22" s="859" t="s">
        <v>30</v>
      </c>
      <c r="B22" s="859"/>
      <c r="C22" s="415">
        <v>3.5</v>
      </c>
      <c r="D22" s="415">
        <v>3.5</v>
      </c>
      <c r="E22" s="965">
        <f t="shared" si="0"/>
        <v>7</v>
      </c>
      <c r="F22" s="965"/>
      <c r="G22" s="966">
        <v>6.0640000000000001</v>
      </c>
      <c r="H22" s="966"/>
      <c r="I22" s="578">
        <f t="shared" si="2"/>
        <v>42.448</v>
      </c>
      <c r="J22" s="579">
        <f t="shared" si="1"/>
        <v>236152.12</v>
      </c>
      <c r="M22" s="2"/>
      <c r="R22" s="858" t="s">
        <v>30</v>
      </c>
      <c r="S22" s="858"/>
      <c r="T22" s="889">
        <f t="shared" si="3"/>
        <v>7</v>
      </c>
      <c r="U22" s="889"/>
      <c r="V22" s="894">
        <v>1</v>
      </c>
      <c r="W22" s="894"/>
      <c r="X22" s="156">
        <f t="shared" si="4"/>
        <v>7</v>
      </c>
      <c r="Y22" s="266">
        <f t="shared" si="6"/>
        <v>38943.29</v>
      </c>
    </row>
    <row r="23" spans="1:25" ht="15" customHeight="1" x14ac:dyDescent="0.25">
      <c r="A23" s="859" t="s">
        <v>31</v>
      </c>
      <c r="B23" s="859"/>
      <c r="C23" s="415">
        <v>5</v>
      </c>
      <c r="D23" s="415">
        <v>5</v>
      </c>
      <c r="E23" s="965">
        <f t="shared" si="0"/>
        <v>10</v>
      </c>
      <c r="F23" s="965"/>
      <c r="G23" s="966">
        <v>6.0640000000000001</v>
      </c>
      <c r="H23" s="966"/>
      <c r="I23" s="578">
        <f t="shared" si="2"/>
        <v>60.64</v>
      </c>
      <c r="J23" s="579">
        <f t="shared" si="1"/>
        <v>337360.17</v>
      </c>
      <c r="M23" s="2"/>
      <c r="R23" s="858" t="s">
        <v>31</v>
      </c>
      <c r="S23" s="858"/>
      <c r="T23" s="889">
        <f t="shared" si="3"/>
        <v>10</v>
      </c>
      <c r="U23" s="889"/>
      <c r="V23" s="894">
        <v>1</v>
      </c>
      <c r="W23" s="894"/>
      <c r="X23" s="156">
        <f t="shared" si="4"/>
        <v>10</v>
      </c>
      <c r="Y23" s="266">
        <f t="shared" si="6"/>
        <v>55633.27</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24.48</v>
      </c>
      <c r="D28" s="126">
        <f>SUM(D12:D27)</f>
        <v>26.43</v>
      </c>
      <c r="E28" s="964">
        <f>SUM(E12:E27)</f>
        <v>50.91</v>
      </c>
      <c r="F28" s="964"/>
      <c r="G28" s="959"/>
      <c r="H28" s="959"/>
      <c r="I28" s="23">
        <f>SUM(I12:I27)</f>
        <v>192.61970000000002</v>
      </c>
      <c r="J28" s="127">
        <f>SUM(J12:J27)</f>
        <v>1071606.44</v>
      </c>
      <c r="M28" s="2"/>
      <c r="R28" s="905" t="s">
        <v>36</v>
      </c>
      <c r="S28" s="905"/>
      <c r="T28" s="906">
        <f>SUM(T12:T27)</f>
        <v>50.91</v>
      </c>
      <c r="U28" s="906"/>
      <c r="V28" s="907"/>
      <c r="W28" s="907"/>
      <c r="X28" s="158">
        <f>SUM(X12:X27)</f>
        <v>50.91</v>
      </c>
      <c r="Y28" s="266">
        <f>SUM(Y12:Y27)</f>
        <v>283228.99</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192.61970000000002</v>
      </c>
      <c r="H33" s="959" t="s">
        <v>45</v>
      </c>
      <c r="I33" s="959"/>
      <c r="J33" s="32">
        <f>SUM(J32,J28)</f>
        <v>1071606.44</v>
      </c>
      <c r="M33" s="2"/>
      <c r="R33" s="909" t="s">
        <v>44</v>
      </c>
      <c r="S33" s="909"/>
      <c r="T33" s="909"/>
      <c r="U33" s="909"/>
      <c r="V33" s="164" t="e">
        <f>V32+X28</f>
        <v>#REF!</v>
      </c>
      <c r="W33" s="907" t="s">
        <v>45</v>
      </c>
      <c r="X33" s="907"/>
      <c r="Y33" s="165">
        <f>SUM(Y32,Y28)</f>
        <v>283228.99</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1046534.2</v>
      </c>
      <c r="H36" s="223" t="s">
        <v>49</v>
      </c>
      <c r="I36" s="38">
        <v>6.6699999999999995E-2</v>
      </c>
      <c r="J36" s="131">
        <f>ROUND(G36*I36,2)</f>
        <v>69803.83</v>
      </c>
      <c r="K36" s="39"/>
      <c r="L36" s="233"/>
      <c r="M36" s="233"/>
      <c r="N36" s="233"/>
      <c r="O36" s="31"/>
      <c r="P36" s="232"/>
      <c r="Q36" s="232"/>
      <c r="R36" s="858" t="s">
        <v>47</v>
      </c>
      <c r="S36" s="858"/>
      <c r="T36" s="858"/>
      <c r="U36" s="253"/>
      <c r="V36" s="172">
        <v>272603.03000000003</v>
      </c>
      <c r="W36" s="239" t="s">
        <v>49</v>
      </c>
      <c r="X36" s="174">
        <v>6.6699999999999995E-2</v>
      </c>
      <c r="Y36" s="266">
        <f>J36</f>
        <v>69803.83</v>
      </c>
    </row>
    <row r="37" spans="1:25" ht="20.25" customHeight="1" x14ac:dyDescent="0.25">
      <c r="A37" s="859" t="s">
        <v>50</v>
      </c>
      <c r="B37" s="859"/>
      <c r="C37" s="859"/>
      <c r="D37" s="859"/>
      <c r="E37" s="859"/>
      <c r="F37" s="248" t="s">
        <v>48</v>
      </c>
      <c r="G37" s="132">
        <v>1046534.2</v>
      </c>
      <c r="H37" s="223" t="s">
        <v>49</v>
      </c>
      <c r="I37" s="38">
        <v>5.4000000000000003E-3</v>
      </c>
      <c r="J37" s="131">
        <f>ROUND(G37*I37,2)</f>
        <v>5651.28</v>
      </c>
      <c r="K37" s="39"/>
      <c r="L37" s="233"/>
      <c r="M37" s="233"/>
      <c r="N37" s="233"/>
      <c r="O37" s="31"/>
      <c r="P37" s="232"/>
      <c r="Q37" s="232"/>
      <c r="R37" s="858" t="s">
        <v>50</v>
      </c>
      <c r="S37" s="858"/>
      <c r="T37" s="858"/>
      <c r="U37" s="253"/>
      <c r="V37" s="172">
        <v>272603.03000000003</v>
      </c>
      <c r="W37" s="239" t="s">
        <v>49</v>
      </c>
      <c r="X37" s="174">
        <v>5.4000000000000003E-3</v>
      </c>
      <c r="Y37" s="266">
        <f>J37</f>
        <v>5651.28</v>
      </c>
    </row>
    <row r="38" spans="1:25" ht="20.25" customHeight="1" x14ac:dyDescent="0.25">
      <c r="A38" s="896" t="s">
        <v>51</v>
      </c>
      <c r="B38" s="896"/>
      <c r="C38" s="896"/>
      <c r="D38" s="896"/>
      <c r="E38" s="896"/>
      <c r="F38" s="248" t="s">
        <v>52</v>
      </c>
      <c r="G38" s="40"/>
      <c r="H38" s="223"/>
      <c r="I38" s="41"/>
      <c r="J38" s="131">
        <f>SUM(J36:J37)</f>
        <v>75455.11</v>
      </c>
      <c r="K38" s="39"/>
      <c r="L38" s="233"/>
      <c r="M38" s="233"/>
      <c r="N38" s="233"/>
      <c r="O38" s="31"/>
      <c r="P38" s="232"/>
      <c r="Q38" s="232"/>
      <c r="R38" s="860" t="s">
        <v>51</v>
      </c>
      <c r="S38" s="860"/>
      <c r="T38" s="860"/>
      <c r="U38" s="253" t="s">
        <v>52</v>
      </c>
      <c r="V38" s="175"/>
      <c r="W38" s="239"/>
      <c r="X38" s="176"/>
      <c r="Y38" s="157">
        <f>Y36+Y37</f>
        <v>75455.11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0.47</v>
      </c>
      <c r="E44" s="952">
        <f t="shared" si="7"/>
        <v>0.47</v>
      </c>
      <c r="F44" s="952"/>
      <c r="G44" s="47" t="s">
        <v>60</v>
      </c>
      <c r="H44" s="223">
        <v>251</v>
      </c>
      <c r="I44" s="136">
        <f>INDEX('[1]111-112-113 ADDITIONAL FUND'!G$1:G$65536,MATCH($A$1,'[1]111-112-113 ADDITIONAL FUND'!A$1:A$65536))</f>
        <v>1173</v>
      </c>
      <c r="J44" s="137">
        <f t="shared" si="8"/>
        <v>551.30999999999995</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1</v>
      </c>
      <c r="D48" s="415">
        <v>1.05</v>
      </c>
      <c r="E48" s="952">
        <f t="shared" si="7"/>
        <v>2.0499999999999998</v>
      </c>
      <c r="F48" s="952"/>
      <c r="G48" s="47" t="s">
        <v>61</v>
      </c>
      <c r="H48" s="223">
        <v>252</v>
      </c>
      <c r="I48" s="136">
        <f>INDEX('[1]111-112-113 ADDITIONAL FUND'!K$1:K$65536,MATCH($A$1,'[1]111-112-113 ADDITIONAL FUND'!A$1:A$65536))</f>
        <v>3168</v>
      </c>
      <c r="J48" s="46">
        <f t="shared" si="8"/>
        <v>6494.4</v>
      </c>
      <c r="M48" s="2"/>
      <c r="R48" s="901"/>
      <c r="S48" s="901"/>
      <c r="T48" s="903"/>
      <c r="U48" s="903"/>
      <c r="V48" s="182" t="s">
        <v>61</v>
      </c>
      <c r="W48" s="239">
        <v>252</v>
      </c>
      <c r="X48" s="134">
        <f t="shared" si="9"/>
        <v>3168</v>
      </c>
      <c r="Y48" s="269">
        <f t="shared" si="10"/>
        <v>0</v>
      </c>
    </row>
    <row r="49" spans="1:25" ht="15.75" customHeight="1" thickBot="1" x14ac:dyDescent="0.3">
      <c r="A49" s="958"/>
      <c r="B49" s="958"/>
      <c r="C49" s="415">
        <v>8.4700000000000006</v>
      </c>
      <c r="D49" s="415">
        <v>8.92</v>
      </c>
      <c r="E49" s="953">
        <f t="shared" si="7"/>
        <v>17.39</v>
      </c>
      <c r="F49" s="953"/>
      <c r="G49" s="47" t="s">
        <v>61</v>
      </c>
      <c r="H49" s="223">
        <v>253</v>
      </c>
      <c r="I49" s="136">
        <f>INDEX('[1]111-112-113 ADDITIONAL FUND'!L$1:L$65536,MATCH($A$1,'[1]111-112-113 ADDITIONAL FUND'!A$1:A$65536))</f>
        <v>6685</v>
      </c>
      <c r="J49" s="46">
        <f t="shared" si="8"/>
        <v>116252.15</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233">
        <f>SUM(C41:C49)</f>
        <v>9.4700000000000006</v>
      </c>
      <c r="D50" s="233">
        <f>SUM(D41:D49)</f>
        <v>10.44</v>
      </c>
      <c r="E50" s="954">
        <f>SUM(E41:E49)</f>
        <v>19.91</v>
      </c>
      <c r="F50" s="954"/>
      <c r="G50" s="910" t="s">
        <v>63</v>
      </c>
      <c r="H50" s="910"/>
      <c r="I50" s="910"/>
      <c r="J50" s="276">
        <f>SUM(J41:J49)</f>
        <v>123297.85999999999</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50.91</v>
      </c>
      <c r="U52" s="184" t="s">
        <v>66</v>
      </c>
      <c r="V52" s="185"/>
      <c r="W52" s="186" t="s">
        <v>67</v>
      </c>
      <c r="X52" s="917">
        <f>I53</f>
        <v>215320.92</v>
      </c>
      <c r="Y52" s="917"/>
    </row>
    <row r="53" spans="1:25" ht="16.5" customHeight="1" x14ac:dyDescent="0.25">
      <c r="A53" s="897" t="s">
        <v>65</v>
      </c>
      <c r="B53" s="897"/>
      <c r="C53" s="237"/>
      <c r="D53" s="237"/>
      <c r="E53" s="48">
        <f>E28</f>
        <v>50.91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2.3599999999999999E-4</v>
      </c>
      <c r="Y53" s="918"/>
    </row>
    <row r="54" spans="1:25" ht="22.5" customHeight="1" x14ac:dyDescent="0.25">
      <c r="A54" s="237"/>
      <c r="B54" s="230"/>
      <c r="C54" s="230"/>
      <c r="D54" s="230"/>
      <c r="H54" s="53" t="s">
        <v>68</v>
      </c>
      <c r="I54" s="943">
        <f>IFERROR(ROUND(E53/I53,6),0)</f>
        <v>2.3599999999999999E-4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50.91</v>
      </c>
      <c r="U55" s="184" t="s">
        <v>66</v>
      </c>
      <c r="V55" s="185"/>
      <c r="W55" s="186" t="s">
        <v>71</v>
      </c>
      <c r="X55" s="917">
        <f>I56</f>
        <v>229051.25000000003</v>
      </c>
      <c r="Y55" s="917"/>
    </row>
    <row r="56" spans="1:25" ht="16.5" customHeight="1" x14ac:dyDescent="0.25">
      <c r="A56" s="897" t="s">
        <v>70</v>
      </c>
      <c r="B56" s="897"/>
      <c r="C56" s="237"/>
      <c r="D56" s="237"/>
      <c r="E56" s="48">
        <f>G33</f>
        <v>192.61970000000002</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2.22E-4</v>
      </c>
      <c r="Y56" s="918"/>
    </row>
    <row r="57" spans="1:25" ht="18.75" customHeight="1" x14ac:dyDescent="0.25">
      <c r="A57" s="237"/>
      <c r="H57" s="53" t="s">
        <v>68</v>
      </c>
      <c r="I57" s="943">
        <f>IFERROR(ROUND(E56/I56,6),0)</f>
        <v>8.4099999999999995E-4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50.91</v>
      </c>
      <c r="U58" s="184" t="s">
        <v>66</v>
      </c>
      <c r="V58" s="916" t="s">
        <v>74</v>
      </c>
      <c r="W58" s="916"/>
      <c r="X58" s="917">
        <f>I59</f>
        <v>186156.17</v>
      </c>
      <c r="Y58" s="917"/>
    </row>
    <row r="59" spans="1:25" ht="18.75" customHeight="1" x14ac:dyDescent="0.25">
      <c r="A59" s="897" t="s">
        <v>73</v>
      </c>
      <c r="B59" s="897"/>
      <c r="C59" s="237"/>
      <c r="D59" s="237"/>
      <c r="E59" s="48">
        <f>E28</f>
        <v>50.91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2.7300000000000002E-4</v>
      </c>
      <c r="Y59" s="918"/>
    </row>
    <row r="60" spans="1:25" ht="18" customHeight="1" x14ac:dyDescent="0.25">
      <c r="A60" s="237"/>
      <c r="H60" s="53" t="s">
        <v>68</v>
      </c>
      <c r="I60" s="943">
        <f>IFERROR(ROUND(E59/I59,6),0)</f>
        <v>2.7300000000000002E-4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50.91</v>
      </c>
      <c r="U61" s="184" t="s">
        <v>66</v>
      </c>
      <c r="V61" s="916" t="s">
        <v>76</v>
      </c>
      <c r="W61" s="916"/>
      <c r="X61" s="917">
        <f>I62</f>
        <v>215016.58000000002</v>
      </c>
      <c r="Y61" s="917"/>
    </row>
    <row r="62" spans="1:25" ht="30.75" customHeight="1" x14ac:dyDescent="0.25">
      <c r="A62" s="897" t="s">
        <v>73</v>
      </c>
      <c r="B62" s="897"/>
      <c r="C62" s="237"/>
      <c r="D62" s="237"/>
      <c r="E62" s="48">
        <f>E28</f>
        <v>50.91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2.3699999999999999E-4</v>
      </c>
      <c r="Y62" s="918"/>
    </row>
    <row r="63" spans="1:25" ht="19.5" customHeight="1" x14ac:dyDescent="0.25">
      <c r="A63" s="237"/>
      <c r="H63" s="53" t="s">
        <v>68</v>
      </c>
      <c r="I63" s="943">
        <f>IFERROR(ROUND(E62/I62,6),0)</f>
        <v>2.3699999999999999E-4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50.91</v>
      </c>
      <c r="U64" s="184" t="s">
        <v>66</v>
      </c>
      <c r="V64" s="916" t="s">
        <v>165</v>
      </c>
      <c r="W64" s="916"/>
      <c r="X64" s="917">
        <f>I65</f>
        <v>185851.83000000002</v>
      </c>
      <c r="Y64" s="917"/>
    </row>
    <row r="65" spans="1:26" ht="49.5" customHeight="1" x14ac:dyDescent="0.25">
      <c r="A65" s="897" t="s">
        <v>73</v>
      </c>
      <c r="B65" s="897"/>
      <c r="C65" s="237"/>
      <c r="D65" s="237"/>
      <c r="E65" s="48">
        <f>E28</f>
        <v>50.91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2.7399999999999999E-4</v>
      </c>
      <c r="Y65" s="918"/>
    </row>
    <row r="66" spans="1:26" ht="19.5" customHeight="1" x14ac:dyDescent="0.25">
      <c r="A66" s="237"/>
      <c r="H66" s="53" t="s">
        <v>68</v>
      </c>
      <c r="I66" s="943">
        <f>IFERROR(ROUND(E65/I65,6),0)</f>
        <v>2.7399999999999999E-4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2.3699999999999999E-4</v>
      </c>
      <c r="Y67" s="271">
        <f>ROUND(V67*X67,2)</f>
        <v>11207.91</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2.3699999999999999E-4</v>
      </c>
      <c r="J68" s="138">
        <f>ROUND(G68*I68,2)</f>
        <v>11207.91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2.3599999999999999E-4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2.3599999999999999E-4</v>
      </c>
      <c r="J70" s="138">
        <f>ROUND(G70*I70,2)</f>
        <v>0</v>
      </c>
      <c r="M70" s="2"/>
      <c r="R70" s="860" t="s">
        <v>167</v>
      </c>
      <c r="S70" s="860"/>
      <c r="T70" s="860"/>
      <c r="U70" s="253"/>
      <c r="V70" s="193">
        <f>G71</f>
        <v>19167881</v>
      </c>
      <c r="W70" s="239" t="s">
        <v>81</v>
      </c>
      <c r="X70" s="176">
        <f>X65</f>
        <v>2.7399999999999999E-4</v>
      </c>
      <c r="Y70" s="266">
        <f t="shared" si="11"/>
        <v>5252</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2.7399999999999999E-4</v>
      </c>
      <c r="J71" s="138">
        <f>ROUND(G71*I71,2)</f>
        <v>5252</v>
      </c>
      <c r="M71" s="2"/>
      <c r="R71" s="240" t="s">
        <v>168</v>
      </c>
      <c r="S71" s="240"/>
      <c r="T71" s="240"/>
      <c r="U71" s="253"/>
      <c r="V71" s="171">
        <f>G72</f>
        <v>11546889</v>
      </c>
      <c r="W71" s="239" t="s">
        <v>81</v>
      </c>
      <c r="X71" s="176">
        <f>X59</f>
        <v>2.7300000000000002E-4</v>
      </c>
      <c r="Y71" s="266">
        <f t="shared" si="11"/>
        <v>3152.3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2.7300000000000002E-4</v>
      </c>
      <c r="J72" s="138">
        <f>ROUND(G72*I72,2)</f>
        <v>3152.3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8.4099999999999995E-4</v>
      </c>
      <c r="J85" s="138">
        <f>ROUND(G85*I85,2)</f>
        <v>226074.49</v>
      </c>
      <c r="K85" s="70"/>
      <c r="L85" s="70"/>
      <c r="M85" s="71"/>
      <c r="N85" s="70"/>
      <c r="O85" s="70"/>
      <c r="P85" s="70"/>
      <c r="Q85" s="70"/>
      <c r="R85" s="860" t="s">
        <v>172</v>
      </c>
      <c r="S85" s="860"/>
      <c r="T85" s="860"/>
      <c r="U85" s="253"/>
      <c r="V85" s="171">
        <f>G85</f>
        <v>268816278</v>
      </c>
      <c r="W85" s="239" t="s">
        <v>81</v>
      </c>
      <c r="X85" s="176">
        <f>X56</f>
        <v>2.22E-4</v>
      </c>
      <c r="Y85" s="266">
        <f t="shared" ref="Y85:Y87" si="12">ROUND(V85*X85,2)</f>
        <v>59677.21</v>
      </c>
    </row>
    <row r="86" spans="1:26" ht="14.25" customHeight="1" x14ac:dyDescent="0.25">
      <c r="A86" s="896" t="s">
        <v>104</v>
      </c>
      <c r="B86" s="896"/>
      <c r="C86" s="896"/>
      <c r="D86" s="896"/>
      <c r="E86" s="896"/>
      <c r="F86" s="248" t="s">
        <v>103</v>
      </c>
      <c r="G86" s="139">
        <v>0</v>
      </c>
      <c r="H86" s="223" t="s">
        <v>81</v>
      </c>
      <c r="I86" s="41">
        <f>I57</f>
        <v>8.4099999999999995E-4</v>
      </c>
      <c r="J86" s="138">
        <f>ROUND(G86*I86,2)</f>
        <v>0</v>
      </c>
      <c r="K86" s="70"/>
      <c r="L86" s="71"/>
      <c r="M86" s="76"/>
      <c r="N86" s="76"/>
      <c r="O86" s="76"/>
      <c r="P86" s="76"/>
      <c r="Q86" s="70"/>
      <c r="R86" s="860" t="s">
        <v>173</v>
      </c>
      <c r="S86" s="860"/>
      <c r="T86" s="860"/>
      <c r="U86" s="253"/>
      <c r="V86" s="203">
        <f>G86</f>
        <v>0</v>
      </c>
      <c r="W86" s="239" t="s">
        <v>81</v>
      </c>
      <c r="X86" s="176">
        <f>X56</f>
        <v>2.22E-4</v>
      </c>
      <c r="Y86" s="266">
        <f t="shared" si="12"/>
        <v>0</v>
      </c>
    </row>
    <row r="87" spans="1:26" ht="18" customHeight="1" x14ac:dyDescent="0.25">
      <c r="A87" s="896" t="s">
        <v>105</v>
      </c>
      <c r="B87" s="896"/>
      <c r="C87" s="896"/>
      <c r="D87" s="896"/>
      <c r="E87" s="896"/>
      <c r="F87" s="248" t="s">
        <v>84</v>
      </c>
      <c r="G87" s="139">
        <v>0</v>
      </c>
      <c r="H87" s="223" t="s">
        <v>81</v>
      </c>
      <c r="I87" s="41">
        <f>I54</f>
        <v>2.3599999999999999E-4</v>
      </c>
      <c r="J87" s="62">
        <f>ROUND(G87*I87,2)</f>
        <v>0</v>
      </c>
      <c r="K87" s="77"/>
      <c r="L87" s="70"/>
      <c r="M87" s="71"/>
      <c r="N87" s="70"/>
      <c r="O87" s="70"/>
      <c r="P87" s="70"/>
      <c r="Q87" s="70"/>
      <c r="R87" s="240" t="s">
        <v>174</v>
      </c>
      <c r="S87" s="240"/>
      <c r="T87" s="240"/>
      <c r="U87" s="253"/>
      <c r="V87" s="203">
        <f>G87</f>
        <v>0</v>
      </c>
      <c r="W87" s="239" t="s">
        <v>81</v>
      </c>
      <c r="X87" s="176">
        <f>X53</f>
        <v>2.3599999999999999E-4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52.842799999999997</v>
      </c>
      <c r="C90" s="245"/>
      <c r="D90" s="867">
        <f>I6</f>
        <v>1.0355000000000001</v>
      </c>
      <c r="E90" s="867"/>
      <c r="F90" s="867"/>
      <c r="G90" s="122">
        <f>'[1]Detail 2025-26 FEFP Second'!AB3</f>
        <v>958.42</v>
      </c>
      <c r="H90" s="47" t="s">
        <v>68</v>
      </c>
      <c r="I90" s="141">
        <f>ROUND(B90*D90*G90,2)</f>
        <v>52443.519999999997</v>
      </c>
      <c r="J90" s="81"/>
      <c r="K90" s="70"/>
      <c r="L90" s="70"/>
      <c r="M90" s="71"/>
      <c r="N90" s="70"/>
      <c r="O90" s="70"/>
      <c r="P90" s="70"/>
      <c r="Q90" s="70"/>
      <c r="R90" s="238" t="s">
        <v>110</v>
      </c>
      <c r="S90" s="251">
        <f>X12+X13+X18+X21+X24</f>
        <v>9.1999999999999993</v>
      </c>
      <c r="T90" s="922">
        <f>X6</f>
        <v>1.0355000000000001</v>
      </c>
      <c r="U90" s="922"/>
      <c r="V90" s="122">
        <f>G90</f>
        <v>958.42</v>
      </c>
      <c r="W90" s="182" t="s">
        <v>68</v>
      </c>
      <c r="X90" s="272">
        <f>ROUND(S90*T90*V90,2)</f>
        <v>9130.48</v>
      </c>
      <c r="Y90" s="205"/>
    </row>
    <row r="91" spans="1:26" ht="21" customHeight="1" x14ac:dyDescent="0.25">
      <c r="A91" s="82" t="s">
        <v>60</v>
      </c>
      <c r="B91" s="245">
        <f>I14+I15+I19+I22+I25</f>
        <v>51.579599999999999</v>
      </c>
      <c r="C91" s="245"/>
      <c r="D91" s="867">
        <f>I6</f>
        <v>1.0355000000000001</v>
      </c>
      <c r="E91" s="867"/>
      <c r="F91" s="867"/>
      <c r="G91" s="122">
        <f>'[1]Detail 2025-26 FEFP Second'!AC3</f>
        <v>915.09</v>
      </c>
      <c r="H91" s="47" t="s">
        <v>68</v>
      </c>
      <c r="I91" s="140">
        <f>ROUND(B91*D91*G91,2)</f>
        <v>48875.58</v>
      </c>
      <c r="K91" s="70"/>
      <c r="L91" s="70"/>
      <c r="M91" s="71"/>
      <c r="N91" s="70"/>
      <c r="O91" s="70"/>
      <c r="P91" s="70"/>
      <c r="Q91" s="70"/>
      <c r="R91" s="206" t="s">
        <v>60</v>
      </c>
      <c r="S91" s="251">
        <f>X14+X15+X19+X22+X25</f>
        <v>9.870000000000001</v>
      </c>
      <c r="T91" s="922">
        <f>X6</f>
        <v>1.0355000000000001</v>
      </c>
      <c r="U91" s="922"/>
      <c r="V91" s="122">
        <f>G91</f>
        <v>915.09</v>
      </c>
      <c r="W91" s="182" t="s">
        <v>68</v>
      </c>
      <c r="X91" s="272">
        <f>ROUND(S91*T91*V91,2)</f>
        <v>9352.57</v>
      </c>
      <c r="Y91" s="170"/>
    </row>
    <row r="92" spans="1:26" ht="19.5" customHeight="1" thickBot="1" x14ac:dyDescent="0.3">
      <c r="A92" s="83" t="s">
        <v>61</v>
      </c>
      <c r="B92" s="109">
        <f>I16+I17+I20+I23+I26+I27</f>
        <v>88.197299999999998</v>
      </c>
      <c r="C92" s="109"/>
      <c r="D92" s="867">
        <f>I6</f>
        <v>1.0355000000000001</v>
      </c>
      <c r="E92" s="867"/>
      <c r="F92" s="867"/>
      <c r="G92" s="122">
        <f>'[1]Detail 2025-26 FEFP Second'!AD3</f>
        <v>917.3</v>
      </c>
      <c r="H92" s="47" t="s">
        <v>68</v>
      </c>
      <c r="I92" s="575">
        <f>ROUND(B92*D92*G92,2)</f>
        <v>83775.45</v>
      </c>
      <c r="K92" s="70"/>
      <c r="L92" s="70"/>
      <c r="M92" s="71"/>
      <c r="N92" s="70"/>
      <c r="O92" s="70"/>
      <c r="P92" s="70"/>
      <c r="Q92" s="70"/>
      <c r="R92" s="207" t="s">
        <v>61</v>
      </c>
      <c r="S92" s="208">
        <f>X16+X17+X20+X23+X26+X27</f>
        <v>31.84</v>
      </c>
      <c r="T92" s="922">
        <f>X6</f>
        <v>1.0355000000000001</v>
      </c>
      <c r="U92" s="922"/>
      <c r="V92" s="122">
        <f>G92</f>
        <v>917.3</v>
      </c>
      <c r="W92" s="182" t="s">
        <v>68</v>
      </c>
      <c r="X92" s="272">
        <f>ROUND(S92*T92*V92,2)</f>
        <v>30243.67</v>
      </c>
      <c r="Y92" s="170"/>
    </row>
    <row r="93" spans="1:26" ht="18.75" customHeight="1" thickBot="1" x14ac:dyDescent="0.3">
      <c r="A93" s="247" t="s">
        <v>111</v>
      </c>
      <c r="B93" s="109">
        <f>SUM(B90:B92)</f>
        <v>192.61969999999999</v>
      </c>
      <c r="C93" s="109"/>
      <c r="D93" s="109"/>
      <c r="E93" s="937" t="s">
        <v>112</v>
      </c>
      <c r="F93" s="937"/>
      <c r="G93" s="937"/>
      <c r="H93" s="937"/>
      <c r="I93" s="937"/>
      <c r="J93" s="127">
        <f>IF(A1=75,0,I92+I91+I90)</f>
        <v>185094.55</v>
      </c>
      <c r="K93" s="70"/>
      <c r="L93" s="70"/>
      <c r="M93" s="71"/>
      <c r="N93" s="70"/>
      <c r="O93" s="70"/>
      <c r="P93" s="70"/>
      <c r="Q93" s="70"/>
      <c r="R93" s="252" t="s">
        <v>111</v>
      </c>
      <c r="S93" s="210">
        <f>SUM(S90:S92)</f>
        <v>50.91</v>
      </c>
      <c r="T93" s="923" t="s">
        <v>112</v>
      </c>
      <c r="U93" s="924"/>
      <c r="V93" s="924"/>
      <c r="W93" s="924"/>
      <c r="X93" s="924"/>
      <c r="Y93" s="266">
        <f>IF(R1=75,0,X92+X91+X90)</f>
        <v>48726.720000000001</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23.5</v>
      </c>
      <c r="U96" s="928"/>
      <c r="V96" s="928"/>
      <c r="W96" s="261" t="s">
        <v>117</v>
      </c>
      <c r="X96" s="212">
        <f>I97</f>
        <v>617</v>
      </c>
      <c r="Y96" s="266">
        <f>ROUND(X96*T96,2)</f>
        <v>14499.5</v>
      </c>
    </row>
    <row r="97" spans="1:25" ht="17.25" customHeight="1" x14ac:dyDescent="0.25">
      <c r="A97" s="910" t="s">
        <v>116</v>
      </c>
      <c r="B97" s="910"/>
      <c r="C97" s="279">
        <v>24</v>
      </c>
      <c r="D97" s="279">
        <v>23</v>
      </c>
      <c r="E97" s="994">
        <f>(C97+D97)/2</f>
        <v>23.5</v>
      </c>
      <c r="F97" s="994"/>
      <c r="G97" s="994"/>
      <c r="H97" s="224" t="s">
        <v>117</v>
      </c>
      <c r="I97" s="130">
        <f>IF(A1&gt;67,0,INDEX('[1]Transportation Per Student'!F$1:F$65536,MATCH(A1,'[1]Transportation Per Student'!B$1:B$65536)))</f>
        <v>617</v>
      </c>
      <c r="J97" s="138">
        <f>ROUND(I97*E97,2)</f>
        <v>14499.5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1</v>
      </c>
      <c r="D98" s="279">
        <v>1</v>
      </c>
      <c r="E98" s="995">
        <f>(C98+D98)/2</f>
        <v>1</v>
      </c>
      <c r="F98" s="995"/>
      <c r="G98" s="995"/>
      <c r="H98" s="224" t="s">
        <v>117</v>
      </c>
      <c r="I98" s="130">
        <f>IF(A1&gt;67,0,INDEX('[1]Transportation Per Student'!J$1:J$65536,MATCH(A1,'[1]Transportation Per Student'!B$1:B$65536)))</f>
        <v>1870</v>
      </c>
      <c r="J98" s="138">
        <f>ROUND(I98*E98,2)</f>
        <v>1870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95">
        <f>SUM(J106,J105,J98,J97,J93,J86,J85,J71,J70,J68,J33,J72,J50,J87,J84)</f>
        <v>1642055.0499999998</v>
      </c>
      <c r="L107" s="576"/>
      <c r="R107" s="860" t="s">
        <v>125</v>
      </c>
      <c r="S107" s="860"/>
      <c r="T107" s="860"/>
      <c r="U107" s="860"/>
      <c r="V107" s="860"/>
      <c r="W107" s="860"/>
      <c r="X107" s="860"/>
      <c r="Y107" s="219">
        <f>SUM(Y106,Y105,Y97,Y96,Y93,Y86,Y85,Y84,Y70,Y69,Y67,Y33,Y71,Y50,Y87,Y83)</f>
        <v>425744.62999999995</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96">
        <f>J107-J38</f>
        <v>1566599.9399999997</v>
      </c>
      <c r="R109" s="170" t="s">
        <v>180</v>
      </c>
      <c r="S109" s="170"/>
      <c r="T109" s="170"/>
      <c r="U109" s="170"/>
      <c r="V109" s="170"/>
      <c r="W109" s="170"/>
      <c r="X109" s="170"/>
      <c r="Y109" s="220">
        <f>Y107-Y38</f>
        <v>350289.51999999996</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v>1</v>
      </c>
      <c r="J111" s="46">
        <f>Y109</f>
        <v>350289.51999999996</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350289.51999999996</v>
      </c>
      <c r="J114" s="711">
        <f>ROUND(IF(E28=0,0,IF(E28&gt;250,-(((250/E28)*I114)*IF(H113="H",0.02,0.05)),IF(H113="H",-0.02*I114,-0.05*I114))),2)</f>
        <v>-17514.48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1624540.5699999998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Payments'!R78</f>
        <v>-803384.66999999993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821155.89999999991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136859.32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114" workbookViewId="0">
      <selection activeCell="Y38" sqref="Y3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442</v>
      </c>
      <c r="B2" s="102"/>
      <c r="C2" s="102"/>
      <c r="D2" s="102"/>
      <c r="E2" s="100"/>
      <c r="F2" s="100"/>
      <c r="G2" s="100"/>
      <c r="H2" s="100"/>
      <c r="I2" s="100"/>
      <c r="J2" s="100"/>
      <c r="K2" s="6"/>
      <c r="L2" s="6"/>
      <c r="M2" s="6"/>
      <c r="N2" s="6"/>
      <c r="O2" s="6"/>
      <c r="P2" s="6"/>
      <c r="Q2" s="6"/>
      <c r="R2" s="873" t="str">
        <f>Revenue_Estimate_Worksheet_for___________Charter_School</f>
        <v>Revenue Estimate Worksheet: The Learning Center at The Els Center of Excellence - 2791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Second'!$C$1:$C$65536,MATCH('2791'!$A$1,'[1]Detail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0.5</v>
      </c>
      <c r="D13" s="415">
        <v>1.02</v>
      </c>
      <c r="E13" s="965">
        <f t="shared" si="0"/>
        <v>1.52</v>
      </c>
      <c r="F13" s="965"/>
      <c r="G13" s="966">
        <v>1.1080000000000001</v>
      </c>
      <c r="H13" s="966"/>
      <c r="I13" s="578">
        <f t="shared" ref="I13:I27" si="2">ROUND(E13*G13,4)</f>
        <v>1.6841999999999999</v>
      </c>
      <c r="J13" s="579">
        <f t="shared" si="1"/>
        <v>9369.76</v>
      </c>
      <c r="L13" s="21"/>
      <c r="M13" s="2"/>
      <c r="R13" s="858" t="s">
        <v>21</v>
      </c>
      <c r="S13" s="858"/>
      <c r="T13" s="889">
        <f t="shared" ref="T13:T27" si="3">IF($I$111=1,E13,0)</f>
        <v>1.52</v>
      </c>
      <c r="U13" s="889"/>
      <c r="V13" s="894">
        <v>1</v>
      </c>
      <c r="W13" s="894"/>
      <c r="X13" s="156">
        <f t="shared" ref="X13:X27" si="4">ROUND(T13*V13,4)</f>
        <v>1.52</v>
      </c>
      <c r="Y13" s="266">
        <f t="shared" ref="Y13" si="5">ROUND(ROUND(ROUND(X13*$E$6,4)*($I$6),2)*(MAX($I$7,1)),2)</f>
        <v>8456.26</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0.5</v>
      </c>
      <c r="D15" s="415">
        <v>0</v>
      </c>
      <c r="E15" s="965">
        <f t="shared" si="0"/>
        <v>0.5</v>
      </c>
      <c r="F15" s="965"/>
      <c r="G15" s="966">
        <v>1</v>
      </c>
      <c r="H15" s="966"/>
      <c r="I15" s="578">
        <f t="shared" si="2"/>
        <v>0.5</v>
      </c>
      <c r="J15" s="579">
        <f t="shared" si="1"/>
        <v>2781.66</v>
      </c>
      <c r="M15" s="2"/>
      <c r="R15" s="858" t="s">
        <v>23</v>
      </c>
      <c r="S15" s="858"/>
      <c r="T15" s="889">
        <f t="shared" si="3"/>
        <v>0.5</v>
      </c>
      <c r="U15" s="889"/>
      <c r="V15" s="894">
        <v>1</v>
      </c>
      <c r="W15" s="894"/>
      <c r="X15" s="156">
        <f t="shared" si="4"/>
        <v>0.5</v>
      </c>
      <c r="Y15" s="266">
        <f t="shared" ref="Y15:Y27" si="6">ROUND(ROUND(ROUND(X15*$E$6,4)*($I$6),2)*(MAX($I$7,1)),2)</f>
        <v>2781.66</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30.54</v>
      </c>
      <c r="D18" s="415">
        <v>29.21</v>
      </c>
      <c r="E18" s="965">
        <f t="shared" si="0"/>
        <v>59.75</v>
      </c>
      <c r="F18" s="965"/>
      <c r="G18" s="966">
        <v>3.609</v>
      </c>
      <c r="H18" s="966"/>
      <c r="I18" s="578">
        <f t="shared" si="2"/>
        <v>215.6378</v>
      </c>
      <c r="J18" s="579">
        <f t="shared" si="1"/>
        <v>1199663.6599999999</v>
      </c>
      <c r="M18" s="2"/>
      <c r="R18" s="858" t="s">
        <v>26</v>
      </c>
      <c r="S18" s="858"/>
      <c r="T18" s="889">
        <f t="shared" si="3"/>
        <v>59.75</v>
      </c>
      <c r="U18" s="889"/>
      <c r="V18" s="894">
        <v>1</v>
      </c>
      <c r="W18" s="894"/>
      <c r="X18" s="156">
        <f t="shared" si="4"/>
        <v>59.75</v>
      </c>
      <c r="Y18" s="266">
        <f t="shared" si="6"/>
        <v>332408.81</v>
      </c>
    </row>
    <row r="19" spans="1:25" x14ac:dyDescent="0.25">
      <c r="A19" s="859" t="s">
        <v>27</v>
      </c>
      <c r="B19" s="859"/>
      <c r="C19" s="415">
        <v>29.04</v>
      </c>
      <c r="D19" s="415">
        <v>27.78</v>
      </c>
      <c r="E19" s="965">
        <f t="shared" si="0"/>
        <v>56.82</v>
      </c>
      <c r="F19" s="965"/>
      <c r="G19" s="966">
        <v>3.609</v>
      </c>
      <c r="H19" s="966"/>
      <c r="I19" s="578">
        <f t="shared" si="2"/>
        <v>205.0634</v>
      </c>
      <c r="J19" s="579">
        <f t="shared" si="1"/>
        <v>1140834.81</v>
      </c>
      <c r="M19" s="2"/>
      <c r="R19" s="858" t="s">
        <v>27</v>
      </c>
      <c r="S19" s="858"/>
      <c r="T19" s="889">
        <f t="shared" si="3"/>
        <v>56.82</v>
      </c>
      <c r="U19" s="889"/>
      <c r="V19" s="894">
        <v>1</v>
      </c>
      <c r="W19" s="894"/>
      <c r="X19" s="156">
        <f t="shared" si="4"/>
        <v>56.82</v>
      </c>
      <c r="Y19" s="266">
        <f t="shared" si="6"/>
        <v>316108.26</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10.5</v>
      </c>
      <c r="D21" s="415">
        <v>11.97</v>
      </c>
      <c r="E21" s="965">
        <f t="shared" si="0"/>
        <v>22.47</v>
      </c>
      <c r="F21" s="965"/>
      <c r="G21" s="966">
        <v>6.0640000000000001</v>
      </c>
      <c r="H21" s="966"/>
      <c r="I21" s="578">
        <f t="shared" si="2"/>
        <v>136.25810000000001</v>
      </c>
      <c r="J21" s="579">
        <f t="shared" si="1"/>
        <v>758048.41</v>
      </c>
      <c r="M21" s="2"/>
      <c r="R21" s="858" t="s">
        <v>29</v>
      </c>
      <c r="S21" s="858"/>
      <c r="T21" s="889">
        <f t="shared" si="3"/>
        <v>22.47</v>
      </c>
      <c r="U21" s="889"/>
      <c r="V21" s="894">
        <v>1</v>
      </c>
      <c r="W21" s="894"/>
      <c r="X21" s="156">
        <f t="shared" si="4"/>
        <v>22.47</v>
      </c>
      <c r="Y21" s="266">
        <f t="shared" si="6"/>
        <v>125007.96</v>
      </c>
    </row>
    <row r="22" spans="1:25" ht="15" customHeight="1" x14ac:dyDescent="0.25">
      <c r="A22" s="859" t="s">
        <v>30</v>
      </c>
      <c r="B22" s="859"/>
      <c r="C22" s="415">
        <v>11</v>
      </c>
      <c r="D22" s="415">
        <v>12.53</v>
      </c>
      <c r="E22" s="965">
        <f t="shared" si="0"/>
        <v>23.53</v>
      </c>
      <c r="F22" s="965"/>
      <c r="G22" s="966">
        <v>6.0640000000000001</v>
      </c>
      <c r="H22" s="966"/>
      <c r="I22" s="578">
        <f t="shared" si="2"/>
        <v>142.6859</v>
      </c>
      <c r="J22" s="579">
        <f t="shared" si="1"/>
        <v>793808.36</v>
      </c>
      <c r="M22" s="2"/>
      <c r="R22" s="858" t="s">
        <v>30</v>
      </c>
      <c r="S22" s="858"/>
      <c r="T22" s="889">
        <f t="shared" si="3"/>
        <v>23.53</v>
      </c>
      <c r="U22" s="889"/>
      <c r="V22" s="894">
        <v>1</v>
      </c>
      <c r="W22" s="894"/>
      <c r="X22" s="156">
        <f t="shared" si="4"/>
        <v>23.53</v>
      </c>
      <c r="Y22" s="266">
        <f t="shared" si="6"/>
        <v>130905.09</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82.08</v>
      </c>
      <c r="D28" s="126">
        <f>SUM(D12:D27)</f>
        <v>82.51</v>
      </c>
      <c r="E28" s="964">
        <f>SUM(E12:E27)</f>
        <v>164.59</v>
      </c>
      <c r="F28" s="964"/>
      <c r="G28" s="959"/>
      <c r="H28" s="959"/>
      <c r="I28" s="23">
        <f>SUM(I12:I27)</f>
        <v>701.82940000000008</v>
      </c>
      <c r="J28" s="127">
        <f>SUM(J12:J27)</f>
        <v>3904506.6599999997</v>
      </c>
      <c r="M28" s="2"/>
      <c r="R28" s="905" t="s">
        <v>36</v>
      </c>
      <c r="S28" s="905"/>
      <c r="T28" s="906">
        <f>SUM(T12:T27)</f>
        <v>164.59</v>
      </c>
      <c r="U28" s="906"/>
      <c r="V28" s="907"/>
      <c r="W28" s="907"/>
      <c r="X28" s="158">
        <f>SUM(X12:X27)</f>
        <v>164.59</v>
      </c>
      <c r="Y28" s="266">
        <f>SUM(Y12:Y27)</f>
        <v>915668.03999999992</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701.82940000000008</v>
      </c>
      <c r="H33" s="959" t="s">
        <v>45</v>
      </c>
      <c r="I33" s="959"/>
      <c r="J33" s="32">
        <f>SUM(J32,J28)</f>
        <v>3904506.6599999997</v>
      </c>
      <c r="M33" s="2"/>
      <c r="R33" s="909" t="s">
        <v>44</v>
      </c>
      <c r="S33" s="909"/>
      <c r="T33" s="909"/>
      <c r="U33" s="909"/>
      <c r="V33" s="164" t="e">
        <f>V32+X28</f>
        <v>#REF!</v>
      </c>
      <c r="W33" s="907" t="s">
        <v>45</v>
      </c>
      <c r="X33" s="907"/>
      <c r="Y33" s="165">
        <f>SUM(Y32,Y28)</f>
        <v>915668.03999999992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3851663.96</v>
      </c>
      <c r="H36" s="223" t="s">
        <v>49</v>
      </c>
      <c r="I36" s="38">
        <v>6.6699999999999995E-2</v>
      </c>
      <c r="J36" s="131">
        <f>ROUND(G36*I36,2)</f>
        <v>256905.99</v>
      </c>
      <c r="K36" s="39"/>
      <c r="L36" s="233"/>
      <c r="M36" s="233"/>
      <c r="N36" s="233"/>
      <c r="O36" s="31"/>
      <c r="P36" s="232"/>
      <c r="Q36" s="232"/>
      <c r="R36" s="858" t="s">
        <v>47</v>
      </c>
      <c r="S36" s="858"/>
      <c r="T36" s="858"/>
      <c r="U36" s="253"/>
      <c r="V36" s="172">
        <v>912385.68</v>
      </c>
      <c r="W36" s="239" t="s">
        <v>49</v>
      </c>
      <c r="X36" s="174">
        <v>6.6699999999999995E-2</v>
      </c>
      <c r="Y36" s="266">
        <f>J36</f>
        <v>256905.99</v>
      </c>
    </row>
    <row r="37" spans="1:25" ht="20.25" customHeight="1" x14ac:dyDescent="0.25">
      <c r="A37" s="859" t="s">
        <v>50</v>
      </c>
      <c r="B37" s="859"/>
      <c r="C37" s="859"/>
      <c r="D37" s="859"/>
      <c r="E37" s="859"/>
      <c r="F37" s="248" t="s">
        <v>48</v>
      </c>
      <c r="G37" s="132">
        <v>3851663.96</v>
      </c>
      <c r="H37" s="223" t="s">
        <v>49</v>
      </c>
      <c r="I37" s="38">
        <v>5.4000000000000003E-3</v>
      </c>
      <c r="J37" s="131">
        <f>ROUND(G37*I37,2)</f>
        <v>20798.990000000002</v>
      </c>
      <c r="K37" s="39"/>
      <c r="L37" s="233"/>
      <c r="M37" s="233"/>
      <c r="N37" s="233"/>
      <c r="O37" s="31"/>
      <c r="P37" s="232"/>
      <c r="Q37" s="232"/>
      <c r="R37" s="858" t="s">
        <v>50</v>
      </c>
      <c r="S37" s="858"/>
      <c r="T37" s="858"/>
      <c r="U37" s="253"/>
      <c r="V37" s="172">
        <v>912385.68</v>
      </c>
      <c r="W37" s="239" t="s">
        <v>49</v>
      </c>
      <c r="X37" s="174">
        <v>5.4000000000000003E-3</v>
      </c>
      <c r="Y37" s="266">
        <f>J37</f>
        <v>20798.990000000002</v>
      </c>
    </row>
    <row r="38" spans="1:25" ht="20.25" customHeight="1" x14ac:dyDescent="0.25">
      <c r="A38" s="896" t="s">
        <v>51</v>
      </c>
      <c r="B38" s="896"/>
      <c r="C38" s="896"/>
      <c r="D38" s="896"/>
      <c r="E38" s="896"/>
      <c r="F38" s="248" t="s">
        <v>52</v>
      </c>
      <c r="G38" s="40"/>
      <c r="H38" s="223"/>
      <c r="I38" s="41"/>
      <c r="J38" s="131">
        <f>SUM(J36:J37)</f>
        <v>277704.98</v>
      </c>
      <c r="K38" s="39"/>
      <c r="L38" s="233"/>
      <c r="M38" s="233"/>
      <c r="N38" s="233"/>
      <c r="O38" s="31"/>
      <c r="P38" s="232"/>
      <c r="Q38" s="232"/>
      <c r="R38" s="860" t="s">
        <v>51</v>
      </c>
      <c r="S38" s="860"/>
      <c r="T38" s="860"/>
      <c r="U38" s="253" t="s">
        <v>52</v>
      </c>
      <c r="V38" s="175"/>
      <c r="W38" s="239"/>
      <c r="X38" s="176"/>
      <c r="Y38" s="157">
        <f>Y36+Y37</f>
        <v>277704.98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0.5</v>
      </c>
      <c r="D43" s="415">
        <v>1.02</v>
      </c>
      <c r="E43" s="952">
        <f t="shared" si="7"/>
        <v>1.52</v>
      </c>
      <c r="F43" s="952"/>
      <c r="G43" s="223" t="s">
        <v>59</v>
      </c>
      <c r="H43" s="223">
        <v>253</v>
      </c>
      <c r="I43" s="136">
        <f>INDEX('[1]111-112-113 ADDITIONAL FUND'!F$1:F$65536,MATCH($A$1,'[1]111-112-113 ADDITIONAL FUND'!A$1:A$65536))</f>
        <v>6896</v>
      </c>
      <c r="J43" s="137">
        <f t="shared" si="8"/>
        <v>10481.92</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0.5</v>
      </c>
      <c r="D45" s="415">
        <v>0</v>
      </c>
      <c r="E45" s="952">
        <f t="shared" si="7"/>
        <v>0.5</v>
      </c>
      <c r="F45" s="952"/>
      <c r="G45" s="47" t="s">
        <v>60</v>
      </c>
      <c r="H45" s="223">
        <v>252</v>
      </c>
      <c r="I45" s="136">
        <f>INDEX('[1]111-112-113 ADDITIONAL FUND'!H$1:H$65536,MATCH($A$1,'[1]111-112-113 ADDITIONAL FUND'!A$1:A$65536))</f>
        <v>3506</v>
      </c>
      <c r="J45" s="137">
        <f t="shared" si="8"/>
        <v>1753</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725">
        <v>0</v>
      </c>
      <c r="D49" s="72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726">
        <f>SUM(C41:C49)</f>
        <v>1</v>
      </c>
      <c r="D50" s="726">
        <f>SUM(D41:D49)</f>
        <v>1.02</v>
      </c>
      <c r="E50" s="954">
        <f>SUM(E41:E49)</f>
        <v>2.02</v>
      </c>
      <c r="F50" s="954"/>
      <c r="G50" s="910" t="s">
        <v>63</v>
      </c>
      <c r="H50" s="910"/>
      <c r="I50" s="910"/>
      <c r="J50" s="276">
        <f>SUM(J41:J49)</f>
        <v>12234.92</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164.59</v>
      </c>
      <c r="U52" s="184" t="s">
        <v>66</v>
      </c>
      <c r="V52" s="185"/>
      <c r="W52" s="186" t="s">
        <v>67</v>
      </c>
      <c r="X52" s="917">
        <f>I53</f>
        <v>215320.92</v>
      </c>
      <c r="Y52" s="917"/>
    </row>
    <row r="53" spans="1:25" ht="16.5" customHeight="1" x14ac:dyDescent="0.25">
      <c r="A53" s="897" t="s">
        <v>65</v>
      </c>
      <c r="B53" s="897"/>
      <c r="C53" s="237"/>
      <c r="D53" s="237"/>
      <c r="E53" s="48">
        <f>E28</f>
        <v>164.59</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7.6400000000000003E-4</v>
      </c>
      <c r="Y53" s="918"/>
    </row>
    <row r="54" spans="1:25" ht="22.5" customHeight="1" x14ac:dyDescent="0.25">
      <c r="A54" s="237"/>
      <c r="B54" s="230"/>
      <c r="C54" s="230"/>
      <c r="D54" s="230"/>
      <c r="H54" s="53" t="s">
        <v>68</v>
      </c>
      <c r="I54" s="943">
        <f>IFERROR(ROUND(E53/I53,6),0)</f>
        <v>7.6400000000000003E-4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164.59</v>
      </c>
      <c r="U55" s="184" t="s">
        <v>66</v>
      </c>
      <c r="V55" s="185"/>
      <c r="W55" s="186" t="s">
        <v>71</v>
      </c>
      <c r="X55" s="917">
        <f>I56</f>
        <v>229051.25000000003</v>
      </c>
      <c r="Y55" s="917"/>
    </row>
    <row r="56" spans="1:25" ht="16.5" customHeight="1" x14ac:dyDescent="0.25">
      <c r="A56" s="897" t="s">
        <v>70</v>
      </c>
      <c r="B56" s="897"/>
      <c r="C56" s="237"/>
      <c r="D56" s="237"/>
      <c r="E56" s="48">
        <f>G33</f>
        <v>701.82940000000008</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7.1900000000000002E-4</v>
      </c>
      <c r="Y56" s="918"/>
    </row>
    <row r="57" spans="1:25" ht="18.75" customHeight="1" x14ac:dyDescent="0.25">
      <c r="A57" s="237"/>
      <c r="H57" s="53" t="s">
        <v>68</v>
      </c>
      <c r="I57" s="943">
        <f>IFERROR(ROUND(E56/I56,6),0)</f>
        <v>3.0639999999999999E-3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164.59</v>
      </c>
      <c r="U58" s="184" t="s">
        <v>66</v>
      </c>
      <c r="V58" s="916" t="s">
        <v>74</v>
      </c>
      <c r="W58" s="916"/>
      <c r="X58" s="917">
        <f>I59</f>
        <v>186156.17</v>
      </c>
      <c r="Y58" s="917"/>
    </row>
    <row r="59" spans="1:25" ht="18.75" customHeight="1" x14ac:dyDescent="0.25">
      <c r="A59" s="897" t="s">
        <v>73</v>
      </c>
      <c r="B59" s="897"/>
      <c r="C59" s="237"/>
      <c r="D59" s="237"/>
      <c r="E59" s="48">
        <f>E28</f>
        <v>164.59</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8.8400000000000002E-4</v>
      </c>
      <c r="Y59" s="918"/>
    </row>
    <row r="60" spans="1:25" ht="18" customHeight="1" x14ac:dyDescent="0.25">
      <c r="A60" s="237"/>
      <c r="H60" s="53" t="s">
        <v>68</v>
      </c>
      <c r="I60" s="943">
        <f>IFERROR(ROUND(E59/I59,6),0)</f>
        <v>8.8400000000000002E-4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164.59</v>
      </c>
      <c r="U61" s="184" t="s">
        <v>66</v>
      </c>
      <c r="V61" s="916" t="s">
        <v>76</v>
      </c>
      <c r="W61" s="916"/>
      <c r="X61" s="917">
        <f>I62</f>
        <v>215016.58000000002</v>
      </c>
      <c r="Y61" s="917"/>
    </row>
    <row r="62" spans="1:25" ht="30.75" customHeight="1" x14ac:dyDescent="0.25">
      <c r="A62" s="897" t="s">
        <v>73</v>
      </c>
      <c r="B62" s="897"/>
      <c r="C62" s="237"/>
      <c r="D62" s="237"/>
      <c r="E62" s="48">
        <f>E28</f>
        <v>164.59</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7.6499999999999995E-4</v>
      </c>
      <c r="Y62" s="918"/>
    </row>
    <row r="63" spans="1:25" ht="19.5" customHeight="1" x14ac:dyDescent="0.25">
      <c r="A63" s="237"/>
      <c r="H63" s="53" t="s">
        <v>68</v>
      </c>
      <c r="I63" s="943">
        <f>IFERROR(ROUND(E62/I62,6),0)</f>
        <v>7.6499999999999995E-4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164.59</v>
      </c>
      <c r="U64" s="184" t="s">
        <v>66</v>
      </c>
      <c r="V64" s="916" t="s">
        <v>165</v>
      </c>
      <c r="W64" s="916"/>
      <c r="X64" s="917">
        <f>I65</f>
        <v>185851.83000000002</v>
      </c>
      <c r="Y64" s="917"/>
    </row>
    <row r="65" spans="1:26" ht="49.5" customHeight="1" x14ac:dyDescent="0.25">
      <c r="A65" s="897" t="s">
        <v>73</v>
      </c>
      <c r="B65" s="897"/>
      <c r="C65" s="237"/>
      <c r="D65" s="237"/>
      <c r="E65" s="48">
        <f>E28</f>
        <v>164.59</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8.8599999999999996E-4</v>
      </c>
      <c r="Y65" s="918"/>
    </row>
    <row r="66" spans="1:26" ht="19.5" customHeight="1" x14ac:dyDescent="0.25">
      <c r="A66" s="237"/>
      <c r="H66" s="53" t="s">
        <v>68</v>
      </c>
      <c r="I66" s="943">
        <f>IFERROR(ROUND(E65/I65,6),0)</f>
        <v>8.8599999999999996E-4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7.6499999999999995E-4</v>
      </c>
      <c r="Y67" s="271">
        <f>ROUND(V67*X67,2)</f>
        <v>36177.42</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7.6499999999999995E-4</v>
      </c>
      <c r="J68" s="138">
        <f>ROUND(G68*I68,2)</f>
        <v>36177.42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7.6400000000000003E-4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7.6400000000000003E-4</v>
      </c>
      <c r="J70" s="138">
        <f>ROUND(G70*I70,2)</f>
        <v>0</v>
      </c>
      <c r="M70" s="2"/>
      <c r="R70" s="860" t="s">
        <v>167</v>
      </c>
      <c r="S70" s="860"/>
      <c r="T70" s="860"/>
      <c r="U70" s="253"/>
      <c r="V70" s="193">
        <f>G71</f>
        <v>19167881</v>
      </c>
      <c r="W70" s="239" t="s">
        <v>81</v>
      </c>
      <c r="X70" s="176">
        <f>X65</f>
        <v>8.8599999999999996E-4</v>
      </c>
      <c r="Y70" s="266">
        <f t="shared" si="11"/>
        <v>16982.740000000002</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8.8599999999999996E-4</v>
      </c>
      <c r="J71" s="138">
        <f>ROUND(G71*I71,2)</f>
        <v>16982.740000000002</v>
      </c>
      <c r="M71" s="2"/>
      <c r="R71" s="240" t="s">
        <v>168</v>
      </c>
      <c r="S71" s="240"/>
      <c r="T71" s="240"/>
      <c r="U71" s="253"/>
      <c r="V71" s="171">
        <f>G72</f>
        <v>11546889</v>
      </c>
      <c r="W71" s="239" t="s">
        <v>81</v>
      </c>
      <c r="X71" s="176">
        <f>X59</f>
        <v>8.8400000000000002E-4</v>
      </c>
      <c r="Y71" s="266">
        <f t="shared" si="11"/>
        <v>10207.450000000001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8.8400000000000002E-4</v>
      </c>
      <c r="J72" s="138">
        <f>ROUND(G72*I72,2)</f>
        <v>10207.450000000001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3.0639999999999999E-3</v>
      </c>
      <c r="J85" s="138">
        <f>ROUND(G85*I85,2)</f>
        <v>823653.08</v>
      </c>
      <c r="K85" s="70"/>
      <c r="L85" s="70"/>
      <c r="M85" s="71"/>
      <c r="N85" s="70"/>
      <c r="O85" s="70"/>
      <c r="P85" s="70"/>
      <c r="Q85" s="70"/>
      <c r="R85" s="860" t="s">
        <v>172</v>
      </c>
      <c r="S85" s="860"/>
      <c r="T85" s="860"/>
      <c r="U85" s="253"/>
      <c r="V85" s="171">
        <f>G85</f>
        <v>268816278</v>
      </c>
      <c r="W85" s="239" t="s">
        <v>81</v>
      </c>
      <c r="X85" s="176">
        <f>X56</f>
        <v>7.1900000000000002E-4</v>
      </c>
      <c r="Y85" s="266">
        <f t="shared" ref="Y85:Y87" si="12">ROUND(V85*X85,2)</f>
        <v>193278.9</v>
      </c>
    </row>
    <row r="86" spans="1:26" ht="14.25" customHeight="1" x14ac:dyDescent="0.25">
      <c r="A86" s="896" t="s">
        <v>104</v>
      </c>
      <c r="B86" s="896"/>
      <c r="C86" s="896"/>
      <c r="D86" s="896"/>
      <c r="E86" s="896"/>
      <c r="F86" s="248" t="s">
        <v>103</v>
      </c>
      <c r="G86" s="139">
        <v>0</v>
      </c>
      <c r="H86" s="223" t="s">
        <v>81</v>
      </c>
      <c r="I86" s="41">
        <f>I57</f>
        <v>3.0639999999999999E-3</v>
      </c>
      <c r="J86" s="138">
        <f>ROUND(G86*I86,2)</f>
        <v>0</v>
      </c>
      <c r="K86" s="70"/>
      <c r="L86" s="71"/>
      <c r="M86" s="76"/>
      <c r="N86" s="76"/>
      <c r="O86" s="76"/>
      <c r="P86" s="76"/>
      <c r="Q86" s="70"/>
      <c r="R86" s="860" t="s">
        <v>173</v>
      </c>
      <c r="S86" s="860"/>
      <c r="T86" s="860"/>
      <c r="U86" s="253"/>
      <c r="V86" s="203">
        <v>0</v>
      </c>
      <c r="W86" s="239" t="s">
        <v>81</v>
      </c>
      <c r="X86" s="176">
        <f>X56</f>
        <v>7.1900000000000002E-4</v>
      </c>
      <c r="Y86" s="266">
        <f t="shared" si="12"/>
        <v>0</v>
      </c>
    </row>
    <row r="87" spans="1:26" ht="18" customHeight="1" x14ac:dyDescent="0.25">
      <c r="A87" s="896" t="s">
        <v>105</v>
      </c>
      <c r="B87" s="896"/>
      <c r="C87" s="896"/>
      <c r="D87" s="896"/>
      <c r="E87" s="896"/>
      <c r="F87" s="248" t="s">
        <v>84</v>
      </c>
      <c r="G87" s="139">
        <v>0</v>
      </c>
      <c r="H87" s="223" t="s">
        <v>81</v>
      </c>
      <c r="I87" s="41">
        <f>I54</f>
        <v>7.6400000000000003E-4</v>
      </c>
      <c r="J87" s="62">
        <f>ROUND(G87*I87,2)</f>
        <v>0</v>
      </c>
      <c r="K87" s="77"/>
      <c r="L87" s="70"/>
      <c r="M87" s="71"/>
      <c r="N87" s="70"/>
      <c r="O87" s="70"/>
      <c r="P87" s="70"/>
      <c r="Q87" s="70"/>
      <c r="R87" s="240" t="s">
        <v>174</v>
      </c>
      <c r="S87" s="240"/>
      <c r="T87" s="240"/>
      <c r="U87" s="253"/>
      <c r="V87" s="203">
        <v>0</v>
      </c>
      <c r="W87" s="239" t="s">
        <v>81</v>
      </c>
      <c r="X87" s="176">
        <f>X53</f>
        <v>7.6400000000000003E-4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353.58010000000002</v>
      </c>
      <c r="C90" s="245"/>
      <c r="D90" s="867">
        <f>I6</f>
        <v>1.0355000000000001</v>
      </c>
      <c r="E90" s="867"/>
      <c r="F90" s="867"/>
      <c r="G90" s="122">
        <f>'[1]Detail 2025-26 FEFP Second'!AB3</f>
        <v>958.42</v>
      </c>
      <c r="H90" s="47" t="s">
        <v>68</v>
      </c>
      <c r="I90" s="141">
        <f>ROUND(B90*D90*G90,2)</f>
        <v>350908.42</v>
      </c>
      <c r="J90" s="81"/>
      <c r="K90" s="70"/>
      <c r="L90" s="70"/>
      <c r="M90" s="71"/>
      <c r="N90" s="70"/>
      <c r="O90" s="70"/>
      <c r="P90" s="70"/>
      <c r="Q90" s="70"/>
      <c r="R90" s="238" t="s">
        <v>110</v>
      </c>
      <c r="S90" s="251">
        <f>X12+X13+X18+X21+X24</f>
        <v>83.740000000000009</v>
      </c>
      <c r="T90" s="922">
        <f>X6</f>
        <v>1.0355000000000001</v>
      </c>
      <c r="U90" s="922"/>
      <c r="V90" s="122">
        <f>G90</f>
        <v>958.42</v>
      </c>
      <c r="W90" s="182" t="s">
        <v>68</v>
      </c>
      <c r="X90" s="272">
        <f>ROUND(S90*T90*V90,2)</f>
        <v>83107.25</v>
      </c>
      <c r="Y90" s="205"/>
    </row>
    <row r="91" spans="1:26" ht="21" customHeight="1" x14ac:dyDescent="0.25">
      <c r="A91" s="82" t="s">
        <v>60</v>
      </c>
      <c r="B91" s="245">
        <f>I14+I15+I19+I22+I25</f>
        <v>348.24930000000001</v>
      </c>
      <c r="C91" s="245"/>
      <c r="D91" s="867">
        <f>I6</f>
        <v>1.0355000000000001</v>
      </c>
      <c r="E91" s="867"/>
      <c r="F91" s="867"/>
      <c r="G91" s="122">
        <f>'[1]Detail 2025-26 FEFP Second'!AC3</f>
        <v>915.09</v>
      </c>
      <c r="H91" s="47" t="s">
        <v>68</v>
      </c>
      <c r="I91" s="140">
        <f>ROUND(B91*D91*G91,2)</f>
        <v>329992.57</v>
      </c>
      <c r="K91" s="70"/>
      <c r="L91" s="70"/>
      <c r="M91" s="71"/>
      <c r="N91" s="70"/>
      <c r="O91" s="70"/>
      <c r="P91" s="70"/>
      <c r="Q91" s="70"/>
      <c r="R91" s="206" t="s">
        <v>60</v>
      </c>
      <c r="S91" s="251">
        <f>X14+X15+X19+X22+X25</f>
        <v>80.849999999999994</v>
      </c>
      <c r="T91" s="922">
        <f>X6</f>
        <v>1.0355000000000001</v>
      </c>
      <c r="U91" s="922"/>
      <c r="V91" s="122">
        <f>G91</f>
        <v>915.09</v>
      </c>
      <c r="W91" s="182" t="s">
        <v>68</v>
      </c>
      <c r="X91" s="272">
        <f>ROUND(S91*T91*V91,2)</f>
        <v>76611.490000000005</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701.82940000000008</v>
      </c>
      <c r="C93" s="109"/>
      <c r="D93" s="109"/>
      <c r="E93" s="937" t="s">
        <v>112</v>
      </c>
      <c r="F93" s="937"/>
      <c r="G93" s="937"/>
      <c r="H93" s="937"/>
      <c r="I93" s="937"/>
      <c r="J93" s="127">
        <f>IF(A1=75,0,I92+I91+I90)</f>
        <v>680900.99</v>
      </c>
      <c r="K93" s="70"/>
      <c r="L93" s="70"/>
      <c r="M93" s="71"/>
      <c r="N93" s="70"/>
      <c r="O93" s="70"/>
      <c r="P93" s="70"/>
      <c r="Q93" s="70"/>
      <c r="R93" s="252" t="s">
        <v>111</v>
      </c>
      <c r="S93" s="210">
        <f>SUM(S90:S92)</f>
        <v>164.59</v>
      </c>
      <c r="T93" s="923" t="s">
        <v>112</v>
      </c>
      <c r="U93" s="924"/>
      <c r="V93" s="924"/>
      <c r="W93" s="924"/>
      <c r="X93" s="924"/>
      <c r="Y93" s="266">
        <f>IF(R1=75,0,X92+X91+X90)</f>
        <v>159718.74</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96">
        <f>(C97+D97)/2</f>
        <v>0</v>
      </c>
      <c r="F97" s="996"/>
      <c r="G97" s="996"/>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96">
        <f>(C98+D98)/2</f>
        <v>0</v>
      </c>
      <c r="F98" s="996"/>
      <c r="G98" s="996"/>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95">
        <f>SUM(J106,J105,J98,J97,J93,J86,J85,J71,J70,J68,J33,J72,J50,J87,J84)</f>
        <v>5484663.2599999998</v>
      </c>
      <c r="L107" s="576"/>
      <c r="R107" s="860" t="s">
        <v>125</v>
      </c>
      <c r="S107" s="860"/>
      <c r="T107" s="860"/>
      <c r="U107" s="860"/>
      <c r="V107" s="860"/>
      <c r="W107" s="860"/>
      <c r="X107" s="860"/>
      <c r="Y107" s="219">
        <f>SUM(Y106,Y105,Y97,Y96,Y93,Y86,Y85,Y84,Y70,Y69,Y67,Y33,Y71,Y50,Y87,Y83)</f>
        <v>1332033.2899999998</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5206958.2799999993</v>
      </c>
      <c r="R109" s="170" t="s">
        <v>180</v>
      </c>
      <c r="S109" s="170"/>
      <c r="T109" s="170"/>
      <c r="U109" s="170"/>
      <c r="V109" s="170"/>
      <c r="W109" s="170"/>
      <c r="X109" s="170"/>
      <c r="Y109" s="220">
        <f>Y107-Y38</f>
        <v>1054328.3099999998</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v>1</v>
      </c>
      <c r="J111" s="137">
        <f>Y109</f>
        <v>1054328.3099999998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1054328.3099999998</v>
      </c>
      <c r="J114" s="711">
        <f>ROUND(IF(E28=0,0,IF(E28&gt;250,-(((250/E28)*I114)*IF(H113="H",0.02,0.05)),IF(H113="H",-0.02*I114,-0.05*I114))),2)</f>
        <v>-52716.42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5431946.8399999999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Payments'!R79</f>
        <v>-2696823.14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2735123.6999999997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455853.95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106"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443</v>
      </c>
      <c r="B2" s="102"/>
      <c r="C2" s="102"/>
      <c r="D2" s="102"/>
      <c r="E2" s="100"/>
      <c r="F2" s="100"/>
      <c r="G2" s="100"/>
      <c r="H2" s="100"/>
      <c r="I2" s="100"/>
      <c r="J2" s="100"/>
      <c r="K2" s="6"/>
      <c r="L2" s="6"/>
      <c r="M2" s="6"/>
      <c r="N2" s="6"/>
      <c r="O2" s="6"/>
      <c r="P2" s="6"/>
      <c r="Q2" s="6"/>
      <c r="R2" s="873" t="str">
        <f>Revenue_Estimate_Worksheet_for___________Charter_School</f>
        <v>Revenue Estimate Worksheet: Palm Beach Maritime Academy Elementary - 2801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Second'!$C$1:$C$65536,MATCH('2801'!$A$1,'[1]Detail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120.11</v>
      </c>
      <c r="D12" s="411">
        <v>121.07</v>
      </c>
      <c r="E12" s="979">
        <f t="shared" ref="E12:E27" si="0">IF($D$28=0,C12*2,C12+D12)</f>
        <v>241.18</v>
      </c>
      <c r="F12" s="979"/>
      <c r="G12" s="980">
        <v>1.1080000000000001</v>
      </c>
      <c r="H12" s="980"/>
      <c r="I12" s="578">
        <f>ROUND(E12*G12,4)</f>
        <v>267.22739999999999</v>
      </c>
      <c r="J12" s="579">
        <f t="shared" ref="J12:J27" si="1">ROUND(ROUND(ROUND(I12*$E$6,4)*($I$6),2)*(MAX($I$7,1)),2)</f>
        <v>1486673.49</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27</v>
      </c>
      <c r="D13" s="415">
        <v>27.5</v>
      </c>
      <c r="E13" s="965">
        <f t="shared" si="0"/>
        <v>54.5</v>
      </c>
      <c r="F13" s="965"/>
      <c r="G13" s="966">
        <v>1.1080000000000001</v>
      </c>
      <c r="H13" s="966"/>
      <c r="I13" s="578">
        <f t="shared" ref="I13:I27" si="2">ROUND(E13*G13,4)</f>
        <v>60.386000000000003</v>
      </c>
      <c r="J13" s="579">
        <f t="shared" si="1"/>
        <v>335947.08</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54.88</v>
      </c>
      <c r="D14" s="415">
        <v>55.75</v>
      </c>
      <c r="E14" s="965">
        <f t="shared" si="0"/>
        <v>110.63</v>
      </c>
      <c r="F14" s="965"/>
      <c r="G14" s="966">
        <v>1</v>
      </c>
      <c r="H14" s="966"/>
      <c r="I14" s="578">
        <f t="shared" si="2"/>
        <v>110.63</v>
      </c>
      <c r="J14" s="579">
        <f>ROUND(ROUND(ROUND(I14*$E$6,4)*($I$6),2)*(MAX($I$7,1)),2)</f>
        <v>615470.9</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16.5</v>
      </c>
      <c r="D15" s="415">
        <v>17</v>
      </c>
      <c r="E15" s="965">
        <f t="shared" si="0"/>
        <v>33.5</v>
      </c>
      <c r="F15" s="965"/>
      <c r="G15" s="966">
        <v>1</v>
      </c>
      <c r="H15" s="966"/>
      <c r="I15" s="578">
        <f t="shared" si="2"/>
        <v>33.5</v>
      </c>
      <c r="J15" s="579">
        <f t="shared" si="1"/>
        <v>186371.46</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58.88</v>
      </c>
      <c r="D24" s="415">
        <v>59.04</v>
      </c>
      <c r="E24" s="965">
        <f t="shared" si="0"/>
        <v>117.92</v>
      </c>
      <c r="F24" s="965"/>
      <c r="G24" s="966">
        <v>1.165</v>
      </c>
      <c r="H24" s="966"/>
      <c r="I24" s="578">
        <f t="shared" si="2"/>
        <v>137.3768</v>
      </c>
      <c r="J24" s="579">
        <f t="shared" si="1"/>
        <v>764272.1</v>
      </c>
      <c r="M24" s="2"/>
      <c r="R24" s="858" t="s">
        <v>32</v>
      </c>
      <c r="S24" s="858"/>
      <c r="T24" s="889">
        <f t="shared" si="3"/>
        <v>0</v>
      </c>
      <c r="U24" s="889"/>
      <c r="V24" s="894">
        <v>1</v>
      </c>
      <c r="W24" s="894"/>
      <c r="X24" s="156">
        <f t="shared" si="4"/>
        <v>0</v>
      </c>
      <c r="Y24" s="266">
        <f t="shared" si="6"/>
        <v>0</v>
      </c>
    </row>
    <row r="25" spans="1:25" x14ac:dyDescent="0.25">
      <c r="A25" s="859" t="s">
        <v>33</v>
      </c>
      <c r="B25" s="859"/>
      <c r="C25" s="415">
        <v>12.11</v>
      </c>
      <c r="D25" s="415">
        <v>12.14</v>
      </c>
      <c r="E25" s="965">
        <f t="shared" si="0"/>
        <v>24.25</v>
      </c>
      <c r="F25" s="965"/>
      <c r="G25" s="966">
        <v>1.165</v>
      </c>
      <c r="H25" s="966"/>
      <c r="I25" s="578">
        <f t="shared" si="2"/>
        <v>28.251300000000001</v>
      </c>
      <c r="J25" s="579">
        <f t="shared" si="1"/>
        <v>157171.23000000001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289.48</v>
      </c>
      <c r="D28" s="126">
        <f>SUM(D12:D27)</f>
        <v>292.5</v>
      </c>
      <c r="E28" s="964">
        <f>SUM(E12:E27)</f>
        <v>581.98</v>
      </c>
      <c r="F28" s="964"/>
      <c r="G28" s="959"/>
      <c r="H28" s="959"/>
      <c r="I28" s="23">
        <f>SUM(I12:I27)</f>
        <v>637.37150000000008</v>
      </c>
      <c r="J28" s="127">
        <f>SUM(J12:J27)</f>
        <v>3545906.2600000002</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637.37150000000008</v>
      </c>
      <c r="H33" s="959" t="s">
        <v>45</v>
      </c>
      <c r="I33" s="959"/>
      <c r="J33" s="32">
        <f>SUM(J32,J28)</f>
        <v>3545906.2600000002</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3528287.76</v>
      </c>
      <c r="H36" s="223" t="s">
        <v>49</v>
      </c>
      <c r="I36" s="38">
        <v>6.6699999999999995E-2</v>
      </c>
      <c r="J36" s="131">
        <f>ROUND(G36*I36,2)</f>
        <v>235336.79</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3528287.76</v>
      </c>
      <c r="H37" s="223" t="s">
        <v>49</v>
      </c>
      <c r="I37" s="38">
        <v>5.4000000000000003E-3</v>
      </c>
      <c r="J37" s="131">
        <f>ROUND(G37*I37,2)</f>
        <v>19052.75</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254389.54</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23.5</v>
      </c>
      <c r="D41" s="415">
        <v>23.93</v>
      </c>
      <c r="E41" s="952">
        <f t="shared" ref="E41:E49" si="7">IF($D$50=0,C41*2,C41+D41)</f>
        <v>47.43</v>
      </c>
      <c r="F41" s="952"/>
      <c r="G41" s="223" t="s">
        <v>59</v>
      </c>
      <c r="H41" s="223">
        <v>251</v>
      </c>
      <c r="I41" s="136">
        <f>INDEX('[1]111-112-113 ADDITIONAL FUND'!D$1:D$65536,MATCH($A$1,'[1]111-112-113 ADDITIONAL FUND'!A$1:A$65536))</f>
        <v>1047</v>
      </c>
      <c r="J41" s="137">
        <f t="shared" ref="J41:J49" si="8">ROUND(E41*I41,2)</f>
        <v>49659.21</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3</v>
      </c>
      <c r="D42" s="415">
        <v>3.06</v>
      </c>
      <c r="E42" s="952">
        <f t="shared" si="7"/>
        <v>6.0600000000000005</v>
      </c>
      <c r="F42" s="952"/>
      <c r="G42" s="223" t="s">
        <v>59</v>
      </c>
      <c r="H42" s="223">
        <v>252</v>
      </c>
      <c r="I42" s="136">
        <f>INDEX('[1]111-112-113 ADDITIONAL FUND'!E$1:E$65536,MATCH($A$1,'[1]111-112-113 ADDITIONAL FUND'!A$1:A$65536))</f>
        <v>3380</v>
      </c>
      <c r="J42" s="137">
        <f t="shared" si="8"/>
        <v>20482.8</v>
      </c>
      <c r="M42" s="2"/>
      <c r="R42" s="901"/>
      <c r="S42" s="901"/>
      <c r="T42" s="902"/>
      <c r="U42" s="902"/>
      <c r="V42" s="239" t="s">
        <v>59</v>
      </c>
      <c r="W42" s="239">
        <v>252</v>
      </c>
      <c r="X42" s="134">
        <f t="shared" si="9"/>
        <v>3380</v>
      </c>
      <c r="Y42" s="269">
        <f t="shared" ref="Y42:Y49" si="10">ROUND(T42*X42,2)</f>
        <v>0</v>
      </c>
    </row>
    <row r="43" spans="1:25" x14ac:dyDescent="0.25">
      <c r="A43" s="958"/>
      <c r="B43" s="958"/>
      <c r="C43" s="415">
        <v>0.5</v>
      </c>
      <c r="D43" s="415">
        <v>0.51</v>
      </c>
      <c r="E43" s="952">
        <f t="shared" si="7"/>
        <v>1.01</v>
      </c>
      <c r="F43" s="952"/>
      <c r="G43" s="223" t="s">
        <v>59</v>
      </c>
      <c r="H43" s="223">
        <v>253</v>
      </c>
      <c r="I43" s="136">
        <f>INDEX('[1]111-112-113 ADDITIONAL FUND'!F$1:F$65536,MATCH($A$1,'[1]111-112-113 ADDITIONAL FUND'!A$1:A$65536))</f>
        <v>6896</v>
      </c>
      <c r="J43" s="137">
        <f t="shared" si="8"/>
        <v>6964.96</v>
      </c>
      <c r="M43" s="2"/>
      <c r="R43" s="901"/>
      <c r="S43" s="901"/>
      <c r="T43" s="903"/>
      <c r="U43" s="903"/>
      <c r="V43" s="239" t="s">
        <v>59</v>
      </c>
      <c r="W43" s="239">
        <v>253</v>
      </c>
      <c r="X43" s="134">
        <f t="shared" si="9"/>
        <v>6896</v>
      </c>
      <c r="Y43" s="269">
        <f t="shared" si="10"/>
        <v>0</v>
      </c>
    </row>
    <row r="44" spans="1:25" ht="20.25" customHeight="1" x14ac:dyDescent="0.25">
      <c r="A44" s="958"/>
      <c r="B44" s="958"/>
      <c r="C44" s="415">
        <v>16.5</v>
      </c>
      <c r="D44" s="415">
        <v>17</v>
      </c>
      <c r="E44" s="952">
        <f t="shared" si="7"/>
        <v>33.5</v>
      </c>
      <c r="F44" s="952"/>
      <c r="G44" s="47" t="s">
        <v>60</v>
      </c>
      <c r="H44" s="223">
        <v>251</v>
      </c>
      <c r="I44" s="136">
        <f>INDEX('[1]111-112-113 ADDITIONAL FUND'!G$1:G$65536,MATCH($A$1,'[1]111-112-113 ADDITIONAL FUND'!A$1:A$65536))</f>
        <v>1173</v>
      </c>
      <c r="J44" s="137">
        <f t="shared" si="8"/>
        <v>39295.5</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699">
        <f>SUM(C41:C49)</f>
        <v>43.5</v>
      </c>
      <c r="D50" s="699">
        <f>SUM(D41:D49)</f>
        <v>44.5</v>
      </c>
      <c r="E50" s="954">
        <f>SUM(E41:E49)</f>
        <v>88</v>
      </c>
      <c r="F50" s="954"/>
      <c r="G50" s="910" t="s">
        <v>63</v>
      </c>
      <c r="H50" s="910"/>
      <c r="I50" s="910"/>
      <c r="J50" s="276">
        <f>SUM(J41:J49)</f>
        <v>116402.47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581.98</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2.7030000000000001E-3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637.37150000000008</v>
      </c>
      <c r="U55" s="184" t="s">
        <v>66</v>
      </c>
      <c r="V55" s="185"/>
      <c r="W55" s="186" t="s">
        <v>71</v>
      </c>
      <c r="X55" s="917">
        <f>I56</f>
        <v>229051.25000000003</v>
      </c>
      <c r="Y55" s="917"/>
    </row>
    <row r="56" spans="1:25" ht="16.5" customHeight="1" x14ac:dyDescent="0.25">
      <c r="A56" s="897" t="s">
        <v>70</v>
      </c>
      <c r="B56" s="897"/>
      <c r="C56" s="237"/>
      <c r="D56" s="237"/>
      <c r="E56" s="48">
        <f>G33</f>
        <v>637.37150000000008</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2.7829999999999999E-3</v>
      </c>
      <c r="Y56" s="918"/>
    </row>
    <row r="57" spans="1:25" ht="18.75" customHeight="1" x14ac:dyDescent="0.25">
      <c r="A57" s="237"/>
      <c r="H57" s="53" t="s">
        <v>68</v>
      </c>
      <c r="I57" s="943">
        <f>IFERROR(ROUND(E56/I56,6),0)</f>
        <v>2.7829999999999999E-3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581.98</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3.1259999999999999E-3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581.98</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2.7070000000000002E-3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581.98</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3.1310000000000001E-3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2.7070000000000002E-3</v>
      </c>
      <c r="J68" s="138">
        <f>ROUND(G68*I68,2)</f>
        <v>128016.05</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2.7030000000000001E-3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3.1310000000000001E-3</v>
      </c>
      <c r="J71" s="138">
        <f>ROUND(G71*I71,2)</f>
        <v>60014.64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3.1259999999999999E-3</v>
      </c>
      <c r="J72" s="138">
        <f>ROUND(G72*I72,2)</f>
        <v>36095.58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2.7829999999999999E-3</v>
      </c>
      <c r="J85" s="138">
        <f>ROUND(G85*I85,2)</f>
        <v>748115.7</v>
      </c>
      <c r="K85" s="70"/>
      <c r="L85" s="70"/>
      <c r="M85" s="71"/>
      <c r="N85" s="70"/>
      <c r="O85" s="70"/>
      <c r="P85" s="70"/>
      <c r="Q85" s="70"/>
      <c r="R85" s="860" t="s">
        <v>172</v>
      </c>
      <c r="S85" s="860"/>
      <c r="T85" s="860"/>
      <c r="U85" s="253"/>
      <c r="V85" s="171">
        <f>G85</f>
        <v>268816278</v>
      </c>
      <c r="W85" s="239" t="s">
        <v>81</v>
      </c>
      <c r="X85" s="176">
        <f>X56</f>
        <v>2.7829999999999999E-3</v>
      </c>
      <c r="Y85" s="266">
        <f t="shared" ref="Y85:Y87" si="12">ROUND(V85*X85,2)</f>
        <v>748115.7</v>
      </c>
    </row>
    <row r="86" spans="1:26" ht="14.25" customHeight="1" x14ac:dyDescent="0.25">
      <c r="A86" s="896" t="s">
        <v>104</v>
      </c>
      <c r="B86" s="896"/>
      <c r="C86" s="896"/>
      <c r="D86" s="896"/>
      <c r="E86" s="896"/>
      <c r="F86" s="248" t="s">
        <v>103</v>
      </c>
      <c r="G86" s="139">
        <v>0</v>
      </c>
      <c r="H86" s="223" t="s">
        <v>81</v>
      </c>
      <c r="I86" s="41">
        <f>I57</f>
        <v>2.7829999999999999E-3</v>
      </c>
      <c r="J86" s="138">
        <f>ROUND(G86*I86,2)</f>
        <v>0</v>
      </c>
      <c r="K86" s="70"/>
      <c r="L86" s="71"/>
      <c r="M86" s="76"/>
      <c r="N86" s="76"/>
      <c r="O86" s="76"/>
      <c r="P86" s="76"/>
      <c r="Q86" s="70"/>
      <c r="R86" s="860" t="s">
        <v>173</v>
      </c>
      <c r="S86" s="860"/>
      <c r="T86" s="860"/>
      <c r="U86" s="253"/>
      <c r="V86" s="203">
        <f>G86</f>
        <v>0</v>
      </c>
      <c r="W86" s="239" t="s">
        <v>81</v>
      </c>
      <c r="X86" s="176">
        <f>X56</f>
        <v>2.7829999999999999E-3</v>
      </c>
      <c r="Y86" s="266">
        <f t="shared" si="12"/>
        <v>0</v>
      </c>
    </row>
    <row r="87" spans="1:26" ht="18" customHeight="1" x14ac:dyDescent="0.25">
      <c r="A87" s="896" t="s">
        <v>105</v>
      </c>
      <c r="B87" s="896"/>
      <c r="C87" s="896"/>
      <c r="D87" s="896"/>
      <c r="E87" s="896"/>
      <c r="F87" s="248" t="s">
        <v>84</v>
      </c>
      <c r="G87" s="139">
        <v>0</v>
      </c>
      <c r="H87" s="223" t="s">
        <v>81</v>
      </c>
      <c r="I87" s="41">
        <f>I54</f>
        <v>2.7030000000000001E-3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464.99020000000002</v>
      </c>
      <c r="C90" s="245"/>
      <c r="D90" s="867">
        <f>I6</f>
        <v>1.0355000000000001</v>
      </c>
      <c r="E90" s="867"/>
      <c r="F90" s="867"/>
      <c r="G90" s="122">
        <f>'[1]Detail 2025-26 FEFP Second'!AB3</f>
        <v>958.42</v>
      </c>
      <c r="H90" s="47" t="s">
        <v>68</v>
      </c>
      <c r="I90" s="141">
        <f>ROUND(B90*D90*G90,2)</f>
        <v>461476.69</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172.38130000000001</v>
      </c>
      <c r="C91" s="245"/>
      <c r="D91" s="867">
        <f>I6</f>
        <v>1.0355000000000001</v>
      </c>
      <c r="E91" s="867"/>
      <c r="F91" s="867"/>
      <c r="G91" s="122">
        <f>'[1]Detail 2025-26 FEFP Second'!AC3</f>
        <v>915.09</v>
      </c>
      <c r="H91" s="47" t="s">
        <v>68</v>
      </c>
      <c r="I91" s="140">
        <f>ROUND(B91*D91*G91,2)</f>
        <v>163344.32999999999</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637.37149999999997</v>
      </c>
      <c r="C93" s="109"/>
      <c r="D93" s="109"/>
      <c r="E93" s="937" t="s">
        <v>112</v>
      </c>
      <c r="F93" s="937"/>
      <c r="G93" s="937"/>
      <c r="H93" s="937"/>
      <c r="I93" s="937"/>
      <c r="J93" s="127">
        <f>IF(A1=75,0,I92+I91+I90)</f>
        <v>624821.02</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215</v>
      </c>
      <c r="D97" s="279">
        <v>217</v>
      </c>
      <c r="E97" s="996">
        <f>(C97+D97)/2</f>
        <v>216</v>
      </c>
      <c r="F97" s="996"/>
      <c r="G97" s="996"/>
      <c r="H97" s="224" t="s">
        <v>117</v>
      </c>
      <c r="I97" s="130">
        <f>IF(A1&gt;67,0,INDEX('[1]Transportation Per Student'!F$1:F$65536,MATCH(A1,'[1]Transportation Per Student'!B$1:B$65536)))</f>
        <v>617</v>
      </c>
      <c r="J97" s="138">
        <f>ROUND(I97*E97,2)</f>
        <v>133272</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96">
        <f>(C98+D98)/2</f>
        <v>0</v>
      </c>
      <c r="F98" s="996"/>
      <c r="G98" s="996"/>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5392643.7199999997</v>
      </c>
      <c r="L107" s="576"/>
      <c r="R107" s="860" t="s">
        <v>125</v>
      </c>
      <c r="S107" s="860"/>
      <c r="T107" s="860"/>
      <c r="U107" s="860"/>
      <c r="V107" s="860"/>
      <c r="W107" s="860"/>
      <c r="X107" s="860"/>
      <c r="Y107" s="219">
        <f>SUM(Y106,Y105,Y97,Y96,Y93,Y86,Y85,Y84,Y70,Y69,Y67,Y33,Y71,Y50,Y87,Y83)</f>
        <v>748115.7</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5138254.18</v>
      </c>
      <c r="R109" s="170" t="s">
        <v>180</v>
      </c>
      <c r="S109" s="170"/>
      <c r="T109" s="170"/>
      <c r="U109" s="170"/>
      <c r="V109" s="170"/>
      <c r="W109" s="170"/>
      <c r="X109" s="170"/>
      <c r="Y109" s="220">
        <f>Y107-Y38</f>
        <v>748115.7</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c r="J111" s="46">
        <f>Y109</f>
        <v>748115.7</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5138254.18</v>
      </c>
      <c r="J114" s="711">
        <f>ROUND(IF(E28=0,0,IF(E28&gt;250,-(((250/E28)*I114)*IF(H113="H",0.02,0.05)),IF(H113="H",-0.02*I114,-0.05*I114))),2)</f>
        <v>-110361.49</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5282282.2299999995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Payments'!R80</f>
        <v>-2634381.5100000002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2647900.7199999993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441316.79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146551.22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102" workbookViewId="0">
      <selection activeCell="L53" sqref="L53"/>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444</v>
      </c>
      <c r="B2" s="102"/>
      <c r="C2" s="102"/>
      <c r="D2" s="102"/>
      <c r="E2" s="100"/>
      <c r="F2" s="100"/>
      <c r="G2" s="100"/>
      <c r="H2" s="100"/>
      <c r="I2" s="100"/>
      <c r="J2" s="100"/>
      <c r="K2" s="6"/>
      <c r="L2" s="6"/>
      <c r="M2" s="6"/>
      <c r="N2" s="6"/>
      <c r="O2" s="6"/>
      <c r="P2" s="6"/>
      <c r="Q2" s="6"/>
      <c r="R2" s="873" t="str">
        <f>Revenue_Estimate_Worksheet_for___________Charter_School</f>
        <v>Revenue Estimate Worksheet: Western Academy Charter School - 2911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Second'!$C$1:$C$65536,MATCH('2911'!$A$1,'[1]Detail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119.85</v>
      </c>
      <c r="D12" s="415">
        <v>117.89</v>
      </c>
      <c r="E12" s="979">
        <f t="shared" ref="E12:E27" si="0">IF($D$28=0,C12*2,C12+D12)</f>
        <v>237.74</v>
      </c>
      <c r="F12" s="979"/>
      <c r="G12" s="980">
        <v>1.1080000000000001</v>
      </c>
      <c r="H12" s="980"/>
      <c r="I12" s="578">
        <f>ROUND(E12*G12,4)</f>
        <v>263.41590000000002</v>
      </c>
      <c r="J12" s="579">
        <f t="shared" ref="J12:J27" si="1">ROUND(ROUND(ROUND(I12*$E$6,4)*($I$6),2)*(MAX($I$7,1)),2)</f>
        <v>1465468.87</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23</v>
      </c>
      <c r="D13" s="415">
        <v>25</v>
      </c>
      <c r="E13" s="965">
        <f t="shared" si="0"/>
        <v>48</v>
      </c>
      <c r="F13" s="965"/>
      <c r="G13" s="966">
        <v>1.1080000000000001</v>
      </c>
      <c r="H13" s="966"/>
      <c r="I13" s="578">
        <f t="shared" ref="I13:I27" si="2">ROUND(E13*G13,4)</f>
        <v>53.183999999999997</v>
      </c>
      <c r="J13" s="579">
        <f t="shared" si="1"/>
        <v>295880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159.72999999999999</v>
      </c>
      <c r="D14" s="415">
        <v>156.87</v>
      </c>
      <c r="E14" s="965">
        <f t="shared" si="0"/>
        <v>316.60000000000002</v>
      </c>
      <c r="F14" s="965"/>
      <c r="G14" s="966">
        <v>1</v>
      </c>
      <c r="H14" s="966"/>
      <c r="I14" s="578">
        <f t="shared" si="2"/>
        <v>316.60000000000002</v>
      </c>
      <c r="J14" s="579">
        <f>ROUND(ROUND(ROUND(I14*$E$6,4)*($I$6),2)*(MAX($I$7,1)),2)</f>
        <v>1761349.42</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43.47</v>
      </c>
      <c r="D15" s="415">
        <v>43.52</v>
      </c>
      <c r="E15" s="965">
        <f t="shared" si="0"/>
        <v>86.990000000000009</v>
      </c>
      <c r="F15" s="965"/>
      <c r="G15" s="966">
        <v>1</v>
      </c>
      <c r="H15" s="966"/>
      <c r="I15" s="578">
        <f t="shared" si="2"/>
        <v>86.99</v>
      </c>
      <c r="J15" s="579">
        <f t="shared" si="1"/>
        <v>483953.84</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7.23</v>
      </c>
      <c r="D24" s="415">
        <v>7.22</v>
      </c>
      <c r="E24" s="965">
        <f t="shared" si="0"/>
        <v>14.45</v>
      </c>
      <c r="F24" s="965"/>
      <c r="G24" s="966">
        <v>1.165</v>
      </c>
      <c r="H24" s="966"/>
      <c r="I24" s="578">
        <f t="shared" si="2"/>
        <v>16.834299999999999</v>
      </c>
      <c r="J24" s="579">
        <f t="shared" si="1"/>
        <v>93654.720000000001</v>
      </c>
      <c r="M24" s="2"/>
      <c r="R24" s="858" t="s">
        <v>32</v>
      </c>
      <c r="S24" s="858"/>
      <c r="T24" s="889">
        <f t="shared" si="3"/>
        <v>0</v>
      </c>
      <c r="U24" s="889"/>
      <c r="V24" s="894">
        <v>1</v>
      </c>
      <c r="W24" s="894"/>
      <c r="X24" s="156">
        <f t="shared" si="4"/>
        <v>0</v>
      </c>
      <c r="Y24" s="266">
        <f t="shared" si="6"/>
        <v>0</v>
      </c>
    </row>
    <row r="25" spans="1:25" x14ac:dyDescent="0.25">
      <c r="A25" s="859" t="s">
        <v>33</v>
      </c>
      <c r="B25" s="859"/>
      <c r="C25" s="415">
        <v>1.41</v>
      </c>
      <c r="D25" s="415">
        <v>1.41</v>
      </c>
      <c r="E25" s="965">
        <f t="shared" si="0"/>
        <v>2.82</v>
      </c>
      <c r="F25" s="965"/>
      <c r="G25" s="966">
        <v>1.165</v>
      </c>
      <c r="H25" s="966"/>
      <c r="I25" s="578">
        <f t="shared" si="2"/>
        <v>3.2852999999999999</v>
      </c>
      <c r="J25" s="579">
        <f t="shared" si="1"/>
        <v>18277.2</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354.69</v>
      </c>
      <c r="D28" s="126">
        <f>SUM(D12:D27)</f>
        <v>351.91</v>
      </c>
      <c r="E28" s="964">
        <f>SUM(E12:E27)</f>
        <v>706.60000000000014</v>
      </c>
      <c r="F28" s="964"/>
      <c r="G28" s="959"/>
      <c r="H28" s="959"/>
      <c r="I28" s="23">
        <f>SUM(I12:I27)</f>
        <v>740.30950000000007</v>
      </c>
      <c r="J28" s="127">
        <f>SUM(J12:J27)</f>
        <v>4118584.0500000003</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740.30950000000007</v>
      </c>
      <c r="H33" s="959" t="s">
        <v>45</v>
      </c>
      <c r="I33" s="959"/>
      <c r="J33" s="32">
        <f>SUM(J32,J28)</f>
        <v>4118584.0500000003</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4130359.4</v>
      </c>
      <c r="H36" s="223" t="s">
        <v>49</v>
      </c>
      <c r="I36" s="38">
        <v>6.6699999999999995E-2</v>
      </c>
      <c r="J36" s="131">
        <f>ROUND(G36*I36,2)</f>
        <v>275494.96999999997</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4130359.4</v>
      </c>
      <c r="H37" s="223" t="s">
        <v>49</v>
      </c>
      <c r="I37" s="38">
        <v>5.4000000000000003E-3</v>
      </c>
      <c r="J37" s="131">
        <f>ROUND(G37*I37,2)</f>
        <v>22303.94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297798.90999999997</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19</v>
      </c>
      <c r="D41" s="415">
        <v>20.65</v>
      </c>
      <c r="E41" s="952">
        <f t="shared" ref="E41:E49" si="7">IF($D$50=0,C41*2,C41+D41)</f>
        <v>39.65</v>
      </c>
      <c r="F41" s="952"/>
      <c r="G41" s="223" t="s">
        <v>59</v>
      </c>
      <c r="H41" s="223">
        <v>251</v>
      </c>
      <c r="I41" s="136">
        <f>INDEX('[1]111-112-113 ADDITIONAL FUND'!D$1:D$65536,MATCH($A$1,'[1]111-112-113 ADDITIONAL FUND'!A$1:A$65536))</f>
        <v>1047</v>
      </c>
      <c r="J41" s="46">
        <f t="shared" ref="J41:J49" si="8">ROUND(E41*I41,2)</f>
        <v>41513.550000000003</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4</v>
      </c>
      <c r="D42" s="415">
        <v>4.3499999999999996</v>
      </c>
      <c r="E42" s="952">
        <f t="shared" si="7"/>
        <v>8.35</v>
      </c>
      <c r="F42" s="952"/>
      <c r="G42" s="223" t="s">
        <v>59</v>
      </c>
      <c r="H42" s="223">
        <v>252</v>
      </c>
      <c r="I42" s="136">
        <f>INDEX('[1]111-112-113 ADDITIONAL FUND'!E$1:E$65536,MATCH($A$1,'[1]111-112-113 ADDITIONAL FUND'!A$1:A$65536))</f>
        <v>3380</v>
      </c>
      <c r="J42" s="46">
        <f t="shared" si="8"/>
        <v>28223</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36.44</v>
      </c>
      <c r="D44" s="415">
        <v>36.479999999999997</v>
      </c>
      <c r="E44" s="952">
        <f t="shared" si="7"/>
        <v>72.919999999999987</v>
      </c>
      <c r="F44" s="952"/>
      <c r="G44" s="47" t="s">
        <v>60</v>
      </c>
      <c r="H44" s="223">
        <v>251</v>
      </c>
      <c r="I44" s="136">
        <f>INDEX('[1]111-112-113 ADDITIONAL FUND'!G$1:G$65536,MATCH($A$1,'[1]111-112-113 ADDITIONAL FUND'!A$1:A$65536))</f>
        <v>1173</v>
      </c>
      <c r="J44" s="137">
        <f t="shared" si="8"/>
        <v>85535.16</v>
      </c>
      <c r="L44" s="3"/>
      <c r="M44" s="2"/>
      <c r="Q44" s="4"/>
      <c r="R44" s="901"/>
      <c r="S44" s="901"/>
      <c r="T44" s="903"/>
      <c r="U44" s="903"/>
      <c r="V44" s="182" t="s">
        <v>60</v>
      </c>
      <c r="W44" s="239">
        <v>251</v>
      </c>
      <c r="X44" s="134">
        <f t="shared" si="9"/>
        <v>1173</v>
      </c>
      <c r="Y44" s="269">
        <f t="shared" si="10"/>
        <v>0</v>
      </c>
    </row>
    <row r="45" spans="1:25" x14ac:dyDescent="0.25">
      <c r="A45" s="958"/>
      <c r="B45" s="958"/>
      <c r="C45" s="415">
        <v>7.03</v>
      </c>
      <c r="D45" s="415">
        <v>7.04</v>
      </c>
      <c r="E45" s="952">
        <f t="shared" si="7"/>
        <v>14.07</v>
      </c>
      <c r="F45" s="952"/>
      <c r="G45" s="47" t="s">
        <v>60</v>
      </c>
      <c r="H45" s="223">
        <v>252</v>
      </c>
      <c r="I45" s="136">
        <f>INDEX('[1]111-112-113 ADDITIONAL FUND'!H$1:H$65536,MATCH($A$1,'[1]111-112-113 ADDITIONAL FUND'!A$1:A$65536))</f>
        <v>3506</v>
      </c>
      <c r="J45" s="46">
        <f t="shared" si="8"/>
        <v>49329.42</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233">
        <f>SUM(C41:C49)</f>
        <v>66.47</v>
      </c>
      <c r="D50" s="233">
        <f>SUM(D41:D49)</f>
        <v>68.52</v>
      </c>
      <c r="E50" s="954">
        <f>SUM(E41:E49)</f>
        <v>134.98999999999998</v>
      </c>
      <c r="F50" s="954"/>
      <c r="G50" s="910" t="s">
        <v>63</v>
      </c>
      <c r="H50" s="910"/>
      <c r="I50" s="910"/>
      <c r="J50" s="276">
        <f>SUM(J41:J49)</f>
        <v>204601.13</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706.60000000000014</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3.2820000000000002E-3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740.30950000000007</v>
      </c>
      <c r="U55" s="184" t="s">
        <v>66</v>
      </c>
      <c r="V55" s="185"/>
      <c r="W55" s="186" t="s">
        <v>71</v>
      </c>
      <c r="X55" s="917">
        <f>I56</f>
        <v>229051.25000000003</v>
      </c>
      <c r="Y55" s="917"/>
    </row>
    <row r="56" spans="1:25" ht="16.5" customHeight="1" x14ac:dyDescent="0.25">
      <c r="A56" s="897" t="s">
        <v>70</v>
      </c>
      <c r="B56" s="897"/>
      <c r="C56" s="237"/>
      <c r="D56" s="237"/>
      <c r="E56" s="48">
        <f>G33</f>
        <v>740.30950000000007</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3.2320000000000001E-3</v>
      </c>
      <c r="Y56" s="918"/>
    </row>
    <row r="57" spans="1:25" ht="18.75" customHeight="1" x14ac:dyDescent="0.25">
      <c r="A57" s="237"/>
      <c r="H57" s="53" t="s">
        <v>68</v>
      </c>
      <c r="I57" s="943">
        <f>IFERROR(ROUND(E56/I56,6),0)</f>
        <v>3.2320000000000001E-3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706.60000000000014</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3.7959999999999999E-3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706.60000000000014</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3.2859999999999999E-3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706.60000000000014</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3.8019999999999998E-3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3.2859999999999999E-3</v>
      </c>
      <c r="J68" s="138">
        <f>ROUND(G68*I68,2)</f>
        <v>155397.39000000001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3.2820000000000002E-3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3.8019999999999998E-3</v>
      </c>
      <c r="J71" s="138">
        <f>ROUND(G71*I71,2)</f>
        <v>72876.28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3.7959999999999999E-3</v>
      </c>
      <c r="J72" s="138">
        <f>ROUND(G72*I72,2)</f>
        <v>43831.99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3.2320000000000001E-3</v>
      </c>
      <c r="J85" s="138">
        <f>ROUND(G85*I85,2)</f>
        <v>868814.21</v>
      </c>
      <c r="K85" s="70"/>
      <c r="L85" s="70"/>
      <c r="M85" s="71"/>
      <c r="N85" s="70"/>
      <c r="O85" s="70"/>
      <c r="P85" s="70"/>
      <c r="Q85" s="70"/>
      <c r="R85" s="860" t="s">
        <v>172</v>
      </c>
      <c r="S85" s="860"/>
      <c r="T85" s="860"/>
      <c r="U85" s="253"/>
      <c r="V85" s="171">
        <f>G85</f>
        <v>268816278</v>
      </c>
      <c r="W85" s="239" t="s">
        <v>81</v>
      </c>
      <c r="X85" s="176">
        <f>X56</f>
        <v>3.2320000000000001E-3</v>
      </c>
      <c r="Y85" s="266">
        <f t="shared" ref="Y85:Y87" si="12">ROUND(V85*X85,2)</f>
        <v>868814.21</v>
      </c>
    </row>
    <row r="86" spans="1:26" ht="14.25" customHeight="1" x14ac:dyDescent="0.25">
      <c r="A86" s="896" t="s">
        <v>104</v>
      </c>
      <c r="B86" s="896"/>
      <c r="C86" s="896"/>
      <c r="D86" s="896"/>
      <c r="E86" s="896"/>
      <c r="F86" s="248" t="s">
        <v>103</v>
      </c>
      <c r="G86" s="139">
        <v>0</v>
      </c>
      <c r="H86" s="223" t="s">
        <v>81</v>
      </c>
      <c r="I86" s="41">
        <f>I57</f>
        <v>3.2320000000000001E-3</v>
      </c>
      <c r="J86" s="138">
        <f>ROUND(G86*I86,2)</f>
        <v>0</v>
      </c>
      <c r="K86" s="70"/>
      <c r="L86" s="71"/>
      <c r="M86" s="76"/>
      <c r="N86" s="76"/>
      <c r="O86" s="76"/>
      <c r="P86" s="76"/>
      <c r="Q86" s="70"/>
      <c r="R86" s="860" t="s">
        <v>173</v>
      </c>
      <c r="S86" s="860"/>
      <c r="T86" s="860"/>
      <c r="U86" s="253"/>
      <c r="V86" s="203">
        <f>G86</f>
        <v>0</v>
      </c>
      <c r="W86" s="239" t="s">
        <v>81</v>
      </c>
      <c r="X86" s="176">
        <f>X56</f>
        <v>3.2320000000000001E-3</v>
      </c>
      <c r="Y86" s="266">
        <f t="shared" si="12"/>
        <v>0</v>
      </c>
    </row>
    <row r="87" spans="1:26" ht="18" customHeight="1" x14ac:dyDescent="0.25">
      <c r="A87" s="896" t="s">
        <v>105</v>
      </c>
      <c r="B87" s="896"/>
      <c r="C87" s="896"/>
      <c r="D87" s="896"/>
      <c r="E87" s="896"/>
      <c r="F87" s="248" t="s">
        <v>84</v>
      </c>
      <c r="G87" s="139">
        <v>0</v>
      </c>
      <c r="H87" s="223" t="s">
        <v>81</v>
      </c>
      <c r="I87" s="41">
        <f>I54</f>
        <v>3.2820000000000002E-3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333.43420000000003</v>
      </c>
      <c r="C90" s="245"/>
      <c r="D90" s="867">
        <f>I6</f>
        <v>1.0355000000000001</v>
      </c>
      <c r="E90" s="867"/>
      <c r="F90" s="867"/>
      <c r="G90" s="122">
        <f>'[1]Detail 2025-26 FEFP Second'!AB3</f>
        <v>958.42</v>
      </c>
      <c r="H90" s="47" t="s">
        <v>68</v>
      </c>
      <c r="I90" s="141">
        <f>ROUND(B90*D90*G90,2)</f>
        <v>330914.74</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406.87530000000004</v>
      </c>
      <c r="C91" s="245"/>
      <c r="D91" s="867">
        <f>I6</f>
        <v>1.0355000000000001</v>
      </c>
      <c r="E91" s="867"/>
      <c r="F91" s="867"/>
      <c r="G91" s="122">
        <f>'[1]Detail 2025-26 FEFP Second'!AC3</f>
        <v>915.09</v>
      </c>
      <c r="H91" s="47" t="s">
        <v>68</v>
      </c>
      <c r="I91" s="140">
        <f>ROUND(B91*D91*G91,2)</f>
        <v>385545.15</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740.30950000000007</v>
      </c>
      <c r="C93" s="109"/>
      <c r="D93" s="109"/>
      <c r="E93" s="937" t="s">
        <v>112</v>
      </c>
      <c r="F93" s="937"/>
      <c r="G93" s="937"/>
      <c r="H93" s="937"/>
      <c r="I93" s="937"/>
      <c r="J93" s="127">
        <f>IF(A1=75,0,I92+I91+I90)</f>
        <v>716459.89</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6180564.9400000004</v>
      </c>
      <c r="L107" s="576"/>
      <c r="R107" s="860" t="s">
        <v>125</v>
      </c>
      <c r="S107" s="860"/>
      <c r="T107" s="860"/>
      <c r="U107" s="860"/>
      <c r="V107" s="860"/>
      <c r="W107" s="860"/>
      <c r="X107" s="860"/>
      <c r="Y107" s="219">
        <f>SUM(Y106,Y105,Y97,Y96,Y93,Y86,Y85,Y84,Y70,Y69,Y67,Y33,Y71,Y50,Y87,Y83)</f>
        <v>868814.21</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5882766.0300000003</v>
      </c>
      <c r="R109" s="170" t="s">
        <v>180</v>
      </c>
      <c r="S109" s="170"/>
      <c r="T109" s="170"/>
      <c r="U109" s="170"/>
      <c r="V109" s="170"/>
      <c r="W109" s="170"/>
      <c r="X109" s="170"/>
      <c r="Y109" s="220">
        <f>Y107-Y38</f>
        <v>868814.21</v>
      </c>
    </row>
    <row r="110" spans="1:25" ht="18.75" customHeight="1" thickTop="1" x14ac:dyDescent="0.25">
      <c r="A110" s="896" t="s">
        <v>133</v>
      </c>
      <c r="B110" s="896"/>
      <c r="C110" s="896"/>
      <c r="D110" s="896"/>
      <c r="E110" s="896"/>
      <c r="F110" s="896"/>
      <c r="G110" s="896"/>
      <c r="H110" s="896"/>
      <c r="I110" s="235"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c r="J111" s="46">
        <f>Y109</f>
        <v>868814.21</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5882766.0300000003</v>
      </c>
      <c r="J114" s="711">
        <f>ROUND(IF(E28=0,0,IF(E28&gt;250,-(((250/E28)*I114)*IF(H113="H",0.02,0.05)),IF(H113="H",-0.02*I114,-0.05*I114))),2)</f>
        <v>-41627.269999999997</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6138937.6700000009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Payments'!R81</f>
        <v>-3067724.3000000003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3071213.3700000006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511868.9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76028.05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75" workbookViewId="0">
      <selection activeCell="E99" sqref="E99"/>
    </sheetView>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445</v>
      </c>
      <c r="B2" s="102"/>
      <c r="C2" s="102"/>
      <c r="D2" s="102"/>
      <c r="E2" s="100"/>
      <c r="F2" s="100"/>
      <c r="G2" s="100"/>
      <c r="H2" s="100"/>
      <c r="I2" s="100"/>
      <c r="J2" s="100"/>
      <c r="K2" s="6"/>
      <c r="L2" s="6"/>
      <c r="M2" s="6"/>
      <c r="N2" s="6"/>
      <c r="O2" s="6"/>
      <c r="P2" s="6"/>
      <c r="Q2" s="6"/>
      <c r="R2" s="873" t="str">
        <f>Revenue_Estimate_Worksheet_for___________Charter_School</f>
        <v>Revenue Estimate Worksheet: Palm Beach School for Autism - 2941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Second'!$C$1:$C$65536,MATCH('2941'!$A$1,'[1]Detail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0.5</v>
      </c>
      <c r="D12" s="415">
        <v>0</v>
      </c>
      <c r="E12" s="979">
        <f t="shared" ref="E12:E27" si="0">IF($D$28=0,C12*2,C12+D12)</f>
        <v>0.5</v>
      </c>
      <c r="F12" s="979"/>
      <c r="G12" s="980">
        <v>1.1080000000000001</v>
      </c>
      <c r="H12" s="980"/>
      <c r="I12" s="578">
        <f>ROUND(E12*G12,4)</f>
        <v>0.55400000000000005</v>
      </c>
      <c r="J12" s="579">
        <f t="shared" ref="J12:J27" si="1">ROUND(ROUND(ROUND(I12*$E$6,4)*($I$6),2)*(MAX($I$7,1)),2)</f>
        <v>3082.08</v>
      </c>
      <c r="L12" s="21"/>
      <c r="M12" s="2"/>
      <c r="R12" s="888" t="s">
        <v>20</v>
      </c>
      <c r="S12" s="888"/>
      <c r="T12" s="889">
        <f>IF($I$111=1,E12,0)</f>
        <v>0.5</v>
      </c>
      <c r="U12" s="889"/>
      <c r="V12" s="890">
        <v>1</v>
      </c>
      <c r="W12" s="890"/>
      <c r="X12" s="156">
        <f>ROUND(T12*V12,4)</f>
        <v>0.5</v>
      </c>
      <c r="Y12" s="266">
        <f>ROUND(ROUND(ROUND(X12*$E$6,4)*($I$6),2)*(MAX($I$7,1)),2)</f>
        <v>2781.66</v>
      </c>
    </row>
    <row r="13" spans="1:25" x14ac:dyDescent="0.25">
      <c r="A13" s="859" t="s">
        <v>21</v>
      </c>
      <c r="B13" s="859"/>
      <c r="C13" s="415">
        <v>10.5</v>
      </c>
      <c r="D13" s="415">
        <v>6.5</v>
      </c>
      <c r="E13" s="965">
        <f t="shared" si="0"/>
        <v>17</v>
      </c>
      <c r="F13" s="965"/>
      <c r="G13" s="966">
        <v>1.1080000000000001</v>
      </c>
      <c r="H13" s="966"/>
      <c r="I13" s="578">
        <f t="shared" ref="I13:I27" si="2">ROUND(E13*G13,4)</f>
        <v>18.835999999999999</v>
      </c>
      <c r="J13" s="579">
        <f t="shared" si="1"/>
        <v>104790.83</v>
      </c>
      <c r="L13" s="21"/>
      <c r="M13" s="2"/>
      <c r="R13" s="858" t="s">
        <v>21</v>
      </c>
      <c r="S13" s="858"/>
      <c r="T13" s="889">
        <f t="shared" ref="T13:T27" si="3">IF($I$111=1,E13,0)</f>
        <v>17</v>
      </c>
      <c r="U13" s="889"/>
      <c r="V13" s="894">
        <v>1</v>
      </c>
      <c r="W13" s="894"/>
      <c r="X13" s="156">
        <f t="shared" ref="X13:X27" si="4">ROUND(T13*V13,4)</f>
        <v>17</v>
      </c>
      <c r="Y13" s="266">
        <f t="shared" ref="Y13" si="5">ROUND(ROUND(ROUND(X13*$E$6,4)*($I$6),2)*(MAX($I$7,1)),2)</f>
        <v>94576.56</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12.93</v>
      </c>
      <c r="D15" s="415">
        <v>11.02</v>
      </c>
      <c r="E15" s="965">
        <f t="shared" si="0"/>
        <v>23.95</v>
      </c>
      <c r="F15" s="965"/>
      <c r="G15" s="966">
        <v>1</v>
      </c>
      <c r="H15" s="966"/>
      <c r="I15" s="578">
        <f t="shared" si="2"/>
        <v>23.95</v>
      </c>
      <c r="J15" s="579">
        <f t="shared" si="1"/>
        <v>133241.69</v>
      </c>
      <c r="M15" s="2"/>
      <c r="R15" s="858" t="s">
        <v>23</v>
      </c>
      <c r="S15" s="858"/>
      <c r="T15" s="889">
        <f t="shared" si="3"/>
        <v>23.95</v>
      </c>
      <c r="U15" s="889"/>
      <c r="V15" s="894">
        <v>1</v>
      </c>
      <c r="W15" s="894"/>
      <c r="X15" s="156">
        <f t="shared" si="4"/>
        <v>23.95</v>
      </c>
      <c r="Y15" s="266">
        <f t="shared" ref="Y15:Y27" si="6">ROUND(ROUND(ROUND(X15*$E$6,4)*($I$6),2)*(MAX($I$7,1)),2)</f>
        <v>133241.69</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33.5</v>
      </c>
      <c r="D17" s="415">
        <v>30</v>
      </c>
      <c r="E17" s="965">
        <f t="shared" si="0"/>
        <v>63.5</v>
      </c>
      <c r="F17" s="965"/>
      <c r="G17" s="966">
        <v>0.97199999999999998</v>
      </c>
      <c r="H17" s="966"/>
      <c r="I17" s="578">
        <f t="shared" si="2"/>
        <v>61.722000000000001</v>
      </c>
      <c r="J17" s="579">
        <f t="shared" si="1"/>
        <v>343379.69</v>
      </c>
      <c r="M17" s="2"/>
      <c r="R17" s="858" t="s">
        <v>25</v>
      </c>
      <c r="S17" s="858"/>
      <c r="T17" s="889">
        <f t="shared" si="3"/>
        <v>63.5</v>
      </c>
      <c r="U17" s="889"/>
      <c r="V17" s="894">
        <v>1</v>
      </c>
      <c r="W17" s="894"/>
      <c r="X17" s="156">
        <f t="shared" si="4"/>
        <v>63.5</v>
      </c>
      <c r="Y17" s="266">
        <f t="shared" si="6"/>
        <v>353271.28</v>
      </c>
    </row>
    <row r="18" spans="1:25" x14ac:dyDescent="0.25">
      <c r="A18" s="859" t="s">
        <v>26</v>
      </c>
      <c r="B18" s="859"/>
      <c r="C18" s="415">
        <v>41.45</v>
      </c>
      <c r="D18" s="415">
        <v>40.22</v>
      </c>
      <c r="E18" s="965">
        <f t="shared" si="0"/>
        <v>81.67</v>
      </c>
      <c r="F18" s="965"/>
      <c r="G18" s="966">
        <v>3.609</v>
      </c>
      <c r="H18" s="966"/>
      <c r="I18" s="578">
        <f t="shared" si="2"/>
        <v>294.74700000000001</v>
      </c>
      <c r="J18" s="579">
        <f t="shared" si="1"/>
        <v>1639774.03</v>
      </c>
      <c r="M18" s="2"/>
      <c r="R18" s="858" t="s">
        <v>26</v>
      </c>
      <c r="S18" s="858"/>
      <c r="T18" s="889">
        <f t="shared" si="3"/>
        <v>81.67</v>
      </c>
      <c r="U18" s="889"/>
      <c r="V18" s="894">
        <v>1</v>
      </c>
      <c r="W18" s="894"/>
      <c r="X18" s="156">
        <f t="shared" si="4"/>
        <v>81.67</v>
      </c>
      <c r="Y18" s="266">
        <f t="shared" si="6"/>
        <v>454356.94</v>
      </c>
    </row>
    <row r="19" spans="1:25" x14ac:dyDescent="0.25">
      <c r="A19" s="859" t="s">
        <v>27</v>
      </c>
      <c r="B19" s="859"/>
      <c r="C19" s="415">
        <v>32.46</v>
      </c>
      <c r="D19" s="415">
        <v>31.5</v>
      </c>
      <c r="E19" s="965">
        <f t="shared" si="0"/>
        <v>63.96</v>
      </c>
      <c r="F19" s="965"/>
      <c r="G19" s="966">
        <v>3.609</v>
      </c>
      <c r="H19" s="966"/>
      <c r="I19" s="578">
        <f t="shared" si="2"/>
        <v>230.83160000000001</v>
      </c>
      <c r="J19" s="579">
        <f t="shared" si="1"/>
        <v>1284191.74</v>
      </c>
      <c r="M19" s="2"/>
      <c r="R19" s="858" t="s">
        <v>27</v>
      </c>
      <c r="S19" s="858"/>
      <c r="T19" s="889">
        <f t="shared" si="3"/>
        <v>63.96</v>
      </c>
      <c r="U19" s="889"/>
      <c r="V19" s="894">
        <v>1</v>
      </c>
      <c r="W19" s="894"/>
      <c r="X19" s="156">
        <f t="shared" si="4"/>
        <v>63.96</v>
      </c>
      <c r="Y19" s="266">
        <f t="shared" si="6"/>
        <v>355830.41</v>
      </c>
    </row>
    <row r="20" spans="1:25" x14ac:dyDescent="0.25">
      <c r="A20" s="859" t="s">
        <v>28</v>
      </c>
      <c r="B20" s="859"/>
      <c r="C20" s="415">
        <v>23.47</v>
      </c>
      <c r="D20" s="415">
        <v>22.78</v>
      </c>
      <c r="E20" s="965">
        <f t="shared" si="0"/>
        <v>46.25</v>
      </c>
      <c r="F20" s="965"/>
      <c r="G20" s="966">
        <v>3.609</v>
      </c>
      <c r="H20" s="966"/>
      <c r="I20" s="578">
        <f t="shared" si="2"/>
        <v>166.91630000000001</v>
      </c>
      <c r="J20" s="579">
        <f t="shared" si="1"/>
        <v>928610.01</v>
      </c>
      <c r="M20" s="2"/>
      <c r="R20" s="858" t="s">
        <v>28</v>
      </c>
      <c r="S20" s="858"/>
      <c r="T20" s="889">
        <f t="shared" si="3"/>
        <v>46.25</v>
      </c>
      <c r="U20" s="889"/>
      <c r="V20" s="894">
        <v>1</v>
      </c>
      <c r="W20" s="894"/>
      <c r="X20" s="156">
        <f t="shared" si="4"/>
        <v>46.25</v>
      </c>
      <c r="Y20" s="266">
        <f t="shared" si="6"/>
        <v>257303.89</v>
      </c>
    </row>
    <row r="21" spans="1:25" ht="15" customHeight="1" x14ac:dyDescent="0.25">
      <c r="A21" s="859" t="s">
        <v>29</v>
      </c>
      <c r="B21" s="859"/>
      <c r="C21" s="415">
        <v>13.51</v>
      </c>
      <c r="D21" s="415">
        <v>16.940000000000001</v>
      </c>
      <c r="E21" s="965">
        <f t="shared" si="0"/>
        <v>30.450000000000003</v>
      </c>
      <c r="F21" s="965"/>
      <c r="G21" s="966">
        <v>6.0640000000000001</v>
      </c>
      <c r="H21" s="966"/>
      <c r="I21" s="578">
        <f t="shared" si="2"/>
        <v>184.64879999999999</v>
      </c>
      <c r="J21" s="579">
        <f t="shared" si="1"/>
        <v>1027261.71</v>
      </c>
      <c r="M21" s="2"/>
      <c r="R21" s="858" t="s">
        <v>29</v>
      </c>
      <c r="S21" s="858"/>
      <c r="T21" s="889">
        <f t="shared" si="3"/>
        <v>30.450000000000003</v>
      </c>
      <c r="U21" s="889"/>
      <c r="V21" s="894">
        <v>1</v>
      </c>
      <c r="W21" s="894"/>
      <c r="X21" s="156">
        <f t="shared" si="4"/>
        <v>30.45</v>
      </c>
      <c r="Y21" s="266">
        <f t="shared" si="6"/>
        <v>169403.32</v>
      </c>
    </row>
    <row r="22" spans="1:25" ht="15" customHeight="1" x14ac:dyDescent="0.25">
      <c r="A22" s="859" t="s">
        <v>30</v>
      </c>
      <c r="B22" s="859"/>
      <c r="C22" s="415">
        <v>12.5</v>
      </c>
      <c r="D22" s="415">
        <v>15.68</v>
      </c>
      <c r="E22" s="965">
        <f t="shared" si="0"/>
        <v>28.18</v>
      </c>
      <c r="F22" s="965"/>
      <c r="G22" s="966">
        <v>6.0640000000000001</v>
      </c>
      <c r="H22" s="966"/>
      <c r="I22" s="578">
        <f t="shared" si="2"/>
        <v>170.8835</v>
      </c>
      <c r="J22" s="579">
        <f t="shared" si="1"/>
        <v>950680.84</v>
      </c>
      <c r="M22" s="2"/>
      <c r="R22" s="858" t="s">
        <v>30</v>
      </c>
      <c r="S22" s="858"/>
      <c r="T22" s="889">
        <f t="shared" si="3"/>
        <v>28.18</v>
      </c>
      <c r="U22" s="889"/>
      <c r="V22" s="894">
        <v>1</v>
      </c>
      <c r="W22" s="894"/>
      <c r="X22" s="156">
        <f t="shared" si="4"/>
        <v>28.18</v>
      </c>
      <c r="Y22" s="266">
        <f t="shared" si="6"/>
        <v>156774.56</v>
      </c>
    </row>
    <row r="23" spans="1:25" ht="15" customHeight="1" x14ac:dyDescent="0.25">
      <c r="A23" s="859" t="s">
        <v>31</v>
      </c>
      <c r="B23" s="859"/>
      <c r="C23" s="415">
        <v>9.5</v>
      </c>
      <c r="D23" s="415">
        <v>11.92</v>
      </c>
      <c r="E23" s="965">
        <f t="shared" si="0"/>
        <v>21.42</v>
      </c>
      <c r="F23" s="965"/>
      <c r="G23" s="966">
        <v>6.0640000000000001</v>
      </c>
      <c r="H23" s="966"/>
      <c r="I23" s="578">
        <f t="shared" si="2"/>
        <v>129.89089999999999</v>
      </c>
      <c r="J23" s="579">
        <f t="shared" si="1"/>
        <v>722625.59</v>
      </c>
      <c r="M23" s="2"/>
      <c r="R23" s="858" t="s">
        <v>31</v>
      </c>
      <c r="S23" s="858"/>
      <c r="T23" s="889">
        <f t="shared" si="3"/>
        <v>21.42</v>
      </c>
      <c r="U23" s="889"/>
      <c r="V23" s="894">
        <v>1</v>
      </c>
      <c r="W23" s="894"/>
      <c r="X23" s="156">
        <f t="shared" si="4"/>
        <v>21.42</v>
      </c>
      <c r="Y23" s="266">
        <f t="shared" si="6"/>
        <v>119166.47</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190.32</v>
      </c>
      <c r="D28" s="126">
        <f>SUM(D12:D27)</f>
        <v>186.55999999999997</v>
      </c>
      <c r="E28" s="964">
        <f>SUM(E12:E27)</f>
        <v>376.88000000000005</v>
      </c>
      <c r="F28" s="964"/>
      <c r="G28" s="959"/>
      <c r="H28" s="959"/>
      <c r="I28" s="23">
        <f>SUM(I12:I27)</f>
        <v>1282.9800999999998</v>
      </c>
      <c r="J28" s="127">
        <f>SUM(J12:J27)</f>
        <v>7137638.21</v>
      </c>
      <c r="M28" s="2"/>
      <c r="R28" s="905" t="s">
        <v>36</v>
      </c>
      <c r="S28" s="905"/>
      <c r="T28" s="906">
        <f>SUM(T12:T27)</f>
        <v>376.88000000000005</v>
      </c>
      <c r="U28" s="906"/>
      <c r="V28" s="907"/>
      <c r="W28" s="907"/>
      <c r="X28" s="158">
        <f>SUM(X12:X27)</f>
        <v>376.88000000000005</v>
      </c>
      <c r="Y28" s="266">
        <f>SUM(Y12:Y27)</f>
        <v>2096706.7800000003</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1282.9800999999998</v>
      </c>
      <c r="H33" s="959" t="s">
        <v>45</v>
      </c>
      <c r="I33" s="959"/>
      <c r="J33" s="32">
        <f>SUM(J32,J28)</f>
        <v>7137638.21</v>
      </c>
      <c r="M33" s="2"/>
      <c r="R33" s="909" t="s">
        <v>44</v>
      </c>
      <c r="S33" s="909"/>
      <c r="T33" s="909"/>
      <c r="U33" s="909"/>
      <c r="V33" s="164" t="e">
        <f>V32+X28</f>
        <v>#REF!</v>
      </c>
      <c r="W33" s="907" t="s">
        <v>45</v>
      </c>
      <c r="X33" s="907"/>
      <c r="Y33" s="165">
        <f>SUM(Y32,Y28)</f>
        <v>2096706.7800000003</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6953040.9000000004</v>
      </c>
      <c r="H36" s="223" t="s">
        <v>49</v>
      </c>
      <c r="I36" s="38">
        <v>6.6699999999999995E-2</v>
      </c>
      <c r="J36" s="131">
        <f>ROUND(G36*I36,2)</f>
        <v>463767.83</v>
      </c>
      <c r="K36" s="39"/>
      <c r="L36" s="233"/>
      <c r="M36" s="233"/>
      <c r="N36" s="233"/>
      <c r="O36" s="31"/>
      <c r="P36" s="232"/>
      <c r="Q36" s="232"/>
      <c r="R36" s="858" t="s">
        <v>47</v>
      </c>
      <c r="S36" s="858"/>
      <c r="T36" s="858"/>
      <c r="U36" s="253"/>
      <c r="V36" s="172">
        <v>2119627.7000000002</v>
      </c>
      <c r="W36" s="239" t="s">
        <v>49</v>
      </c>
      <c r="X36" s="174">
        <v>6.6699999999999995E-2</v>
      </c>
      <c r="Y36" s="266">
        <f>J36</f>
        <v>463767.83</v>
      </c>
    </row>
    <row r="37" spans="1:25" ht="20.25" customHeight="1" x14ac:dyDescent="0.25">
      <c r="A37" s="859" t="s">
        <v>50</v>
      </c>
      <c r="B37" s="859"/>
      <c r="C37" s="859"/>
      <c r="D37" s="859"/>
      <c r="E37" s="859"/>
      <c r="F37" s="248" t="s">
        <v>48</v>
      </c>
      <c r="G37" s="132">
        <v>6953040.9000000004</v>
      </c>
      <c r="H37" s="223" t="s">
        <v>49</v>
      </c>
      <c r="I37" s="38">
        <v>5.4000000000000003E-3</v>
      </c>
      <c r="J37" s="131">
        <f>ROUND(G37*I37,2)</f>
        <v>37546.42</v>
      </c>
      <c r="K37" s="39"/>
      <c r="L37" s="233"/>
      <c r="M37" s="233"/>
      <c r="N37" s="233"/>
      <c r="O37" s="31"/>
      <c r="P37" s="232"/>
      <c r="Q37" s="232"/>
      <c r="R37" s="858" t="s">
        <v>50</v>
      </c>
      <c r="S37" s="858"/>
      <c r="T37" s="858"/>
      <c r="U37" s="253"/>
      <c r="V37" s="172">
        <v>2119627.7000000002</v>
      </c>
      <c r="W37" s="239" t="s">
        <v>49</v>
      </c>
      <c r="X37" s="174">
        <v>5.4000000000000003E-3</v>
      </c>
      <c r="Y37" s="266">
        <f>J37</f>
        <v>37546.42</v>
      </c>
    </row>
    <row r="38" spans="1:25" ht="20.25" customHeight="1" x14ac:dyDescent="0.25">
      <c r="A38" s="896" t="s">
        <v>51</v>
      </c>
      <c r="B38" s="896"/>
      <c r="C38" s="896"/>
      <c r="D38" s="896"/>
      <c r="E38" s="896"/>
      <c r="F38" s="248" t="s">
        <v>52</v>
      </c>
      <c r="G38" s="40"/>
      <c r="H38" s="223"/>
      <c r="I38" s="41"/>
      <c r="J38" s="131">
        <f>SUM(J36:J37)</f>
        <v>501314.25</v>
      </c>
      <c r="K38" s="39"/>
      <c r="L38" s="233"/>
      <c r="M38" s="233"/>
      <c r="N38" s="233"/>
      <c r="O38" s="31"/>
      <c r="P38" s="232"/>
      <c r="Q38" s="232"/>
      <c r="R38" s="860" t="s">
        <v>51</v>
      </c>
      <c r="S38" s="860"/>
      <c r="T38" s="860"/>
      <c r="U38" s="253" t="s">
        <v>52</v>
      </c>
      <c r="V38" s="175"/>
      <c r="W38" s="239"/>
      <c r="X38" s="176"/>
      <c r="Y38" s="266">
        <f>Y36+Y37</f>
        <v>501314.25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0.5</v>
      </c>
      <c r="D41" s="415">
        <v>0.31</v>
      </c>
      <c r="E41" s="952">
        <f t="shared" ref="E41:E49" si="7">IF($D$50=0,C41*2,C41+D41)</f>
        <v>0.81</v>
      </c>
      <c r="F41" s="952"/>
      <c r="G41" s="223" t="s">
        <v>59</v>
      </c>
      <c r="H41" s="223">
        <v>251</v>
      </c>
      <c r="I41" s="136">
        <f>INDEX('[1]111-112-113 ADDITIONAL FUND'!D$1:D$65536,MATCH($A$1,'[1]111-112-113 ADDITIONAL FUND'!A$1:A$65536))</f>
        <v>1047</v>
      </c>
      <c r="J41" s="137">
        <f t="shared" ref="J41:J49" si="8">ROUND(E41*I41,2)</f>
        <v>848.07</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0.5</v>
      </c>
      <c r="D42" s="415">
        <v>0.31</v>
      </c>
      <c r="E42" s="952">
        <f t="shared" si="7"/>
        <v>0.81</v>
      </c>
      <c r="F42" s="952"/>
      <c r="G42" s="223" t="s">
        <v>59</v>
      </c>
      <c r="H42" s="223">
        <v>252</v>
      </c>
      <c r="I42" s="136">
        <f>INDEX('[1]111-112-113 ADDITIONAL FUND'!E$1:E$65536,MATCH($A$1,'[1]111-112-113 ADDITIONAL FUND'!A$1:A$65536))</f>
        <v>3380</v>
      </c>
      <c r="J42" s="137">
        <f t="shared" si="8"/>
        <v>2737.8</v>
      </c>
      <c r="M42" s="2"/>
      <c r="R42" s="901"/>
      <c r="S42" s="901"/>
      <c r="T42" s="902"/>
      <c r="U42" s="902"/>
      <c r="V42" s="239" t="s">
        <v>59</v>
      </c>
      <c r="W42" s="239">
        <v>252</v>
      </c>
      <c r="X42" s="134">
        <f t="shared" si="9"/>
        <v>3380</v>
      </c>
      <c r="Y42" s="269">
        <f t="shared" ref="Y42:Y49" si="10">ROUND(T42*X42,2)</f>
        <v>0</v>
      </c>
    </row>
    <row r="43" spans="1:25" x14ac:dyDescent="0.25">
      <c r="A43" s="958"/>
      <c r="B43" s="958"/>
      <c r="C43" s="415">
        <v>9.5</v>
      </c>
      <c r="D43" s="415">
        <v>5.88</v>
      </c>
      <c r="E43" s="952">
        <f t="shared" si="7"/>
        <v>15.379999999999999</v>
      </c>
      <c r="F43" s="952"/>
      <c r="G43" s="223" t="s">
        <v>59</v>
      </c>
      <c r="H43" s="223">
        <v>253</v>
      </c>
      <c r="I43" s="136">
        <f>INDEX('[1]111-112-113 ADDITIONAL FUND'!F$1:F$65536,MATCH($A$1,'[1]111-112-113 ADDITIONAL FUND'!A$1:A$65536))</f>
        <v>6896</v>
      </c>
      <c r="J43" s="137">
        <f t="shared" si="8"/>
        <v>106060.48</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0.99</v>
      </c>
      <c r="D45" s="415">
        <v>0.85</v>
      </c>
      <c r="E45" s="952">
        <f t="shared" si="7"/>
        <v>1.8399999999999999</v>
      </c>
      <c r="F45" s="952"/>
      <c r="G45" s="47" t="s">
        <v>60</v>
      </c>
      <c r="H45" s="223">
        <v>252</v>
      </c>
      <c r="I45" s="136">
        <f>INDEX('[1]111-112-113 ADDITIONAL FUND'!H$1:H$65536,MATCH($A$1,'[1]111-112-113 ADDITIONAL FUND'!A$1:A$65536))</f>
        <v>3506</v>
      </c>
      <c r="J45" s="137">
        <f t="shared" si="8"/>
        <v>6451.04</v>
      </c>
      <c r="M45" s="2"/>
      <c r="R45" s="901"/>
      <c r="S45" s="901"/>
      <c r="T45" s="903"/>
      <c r="U45" s="903"/>
      <c r="V45" s="182" t="s">
        <v>60</v>
      </c>
      <c r="W45" s="239">
        <v>252</v>
      </c>
      <c r="X45" s="134">
        <f t="shared" si="9"/>
        <v>3506</v>
      </c>
      <c r="Y45" s="269">
        <f t="shared" si="10"/>
        <v>0</v>
      </c>
    </row>
    <row r="46" spans="1:25" x14ac:dyDescent="0.25">
      <c r="A46" s="958"/>
      <c r="B46" s="958"/>
      <c r="C46" s="415">
        <v>11.94</v>
      </c>
      <c r="D46" s="415">
        <v>10.17</v>
      </c>
      <c r="E46" s="952">
        <f t="shared" si="7"/>
        <v>22.11</v>
      </c>
      <c r="F46" s="952"/>
      <c r="G46" s="47" t="s">
        <v>60</v>
      </c>
      <c r="H46" s="223">
        <v>253</v>
      </c>
      <c r="I46" s="136">
        <f>INDEX('[1]111-112-113 ADDITIONAL FUND'!I$1:I$65536,MATCH($A$1,'[1]111-112-113 ADDITIONAL FUND'!A$1:A$65536))</f>
        <v>7023</v>
      </c>
      <c r="J46" s="137">
        <f t="shared" si="8"/>
        <v>155278.53</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13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2</v>
      </c>
      <c r="D48" s="415">
        <v>1.79</v>
      </c>
      <c r="E48" s="952">
        <f t="shared" si="7"/>
        <v>3.79</v>
      </c>
      <c r="F48" s="952"/>
      <c r="G48" s="47" t="s">
        <v>61</v>
      </c>
      <c r="H48" s="223">
        <v>252</v>
      </c>
      <c r="I48" s="136">
        <f>INDEX('[1]111-112-113 ADDITIONAL FUND'!K$1:K$65536,MATCH($A$1,'[1]111-112-113 ADDITIONAL FUND'!A$1:A$65536))</f>
        <v>3168</v>
      </c>
      <c r="J48" s="137">
        <f t="shared" si="8"/>
        <v>12006.72</v>
      </c>
      <c r="M48" s="2"/>
      <c r="R48" s="901"/>
      <c r="S48" s="901"/>
      <c r="T48" s="903"/>
      <c r="U48" s="903"/>
      <c r="V48" s="182" t="s">
        <v>61</v>
      </c>
      <c r="W48" s="239">
        <v>252</v>
      </c>
      <c r="X48" s="134">
        <f t="shared" si="9"/>
        <v>3168</v>
      </c>
      <c r="Y48" s="269">
        <f t="shared" si="10"/>
        <v>0</v>
      </c>
    </row>
    <row r="49" spans="1:25" ht="15.75" customHeight="1" thickBot="1" x14ac:dyDescent="0.3">
      <c r="A49" s="958"/>
      <c r="B49" s="958"/>
      <c r="C49" s="415">
        <v>31.5</v>
      </c>
      <c r="D49" s="415">
        <v>28.21</v>
      </c>
      <c r="E49" s="953">
        <f t="shared" si="7"/>
        <v>59.71</v>
      </c>
      <c r="F49" s="953"/>
      <c r="G49" s="47" t="s">
        <v>61</v>
      </c>
      <c r="H49" s="223">
        <v>253</v>
      </c>
      <c r="I49" s="136">
        <f>INDEX('[1]111-112-113 ADDITIONAL FUND'!L$1:L$65536,MATCH($A$1,'[1]111-112-113 ADDITIONAL FUND'!A$1:A$65536))</f>
        <v>6685</v>
      </c>
      <c r="J49" s="137">
        <f t="shared" si="8"/>
        <v>399161.35</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56.93</v>
      </c>
      <c r="D50" s="585">
        <f>SUM(D41:D49)</f>
        <v>47.519999999999996</v>
      </c>
      <c r="E50" s="954">
        <f>SUM(E41:E49)</f>
        <v>104.45</v>
      </c>
      <c r="F50" s="954"/>
      <c r="G50" s="910" t="s">
        <v>63</v>
      </c>
      <c r="H50" s="910"/>
      <c r="I50" s="910"/>
      <c r="J50" s="276">
        <f>SUM(J41:J49)</f>
        <v>682543.99</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376.88000000000005</v>
      </c>
      <c r="U52" s="184" t="s">
        <v>66</v>
      </c>
      <c r="V52" s="185"/>
      <c r="W52" s="186" t="s">
        <v>67</v>
      </c>
      <c r="X52" s="917">
        <f>I53</f>
        <v>215320.92</v>
      </c>
      <c r="Y52" s="917"/>
    </row>
    <row r="53" spans="1:25" ht="16.5" customHeight="1" x14ac:dyDescent="0.25">
      <c r="A53" s="897" t="s">
        <v>65</v>
      </c>
      <c r="B53" s="897"/>
      <c r="C53" s="237"/>
      <c r="D53" s="237"/>
      <c r="E53" s="48">
        <f>E28</f>
        <v>376.88000000000005</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1.75E-3</v>
      </c>
      <c r="Y53" s="918"/>
    </row>
    <row r="54" spans="1:25" ht="22.5" customHeight="1" x14ac:dyDescent="0.25">
      <c r="A54" s="237"/>
      <c r="B54" s="230"/>
      <c r="C54" s="230"/>
      <c r="D54" s="230"/>
      <c r="H54" s="53" t="s">
        <v>68</v>
      </c>
      <c r="I54" s="943">
        <f>IFERROR(ROUND(E53/I53,6),0)</f>
        <v>1.75E-3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376.87</v>
      </c>
      <c r="U55" s="184" t="s">
        <v>66</v>
      </c>
      <c r="V55" s="185"/>
      <c r="W55" s="186" t="s">
        <v>71</v>
      </c>
      <c r="X55" s="917">
        <f>I56</f>
        <v>229051.25000000003</v>
      </c>
      <c r="Y55" s="917"/>
    </row>
    <row r="56" spans="1:25" ht="16.5" customHeight="1" x14ac:dyDescent="0.25">
      <c r="A56" s="897" t="s">
        <v>70</v>
      </c>
      <c r="B56" s="897"/>
      <c r="C56" s="237"/>
      <c r="D56" s="237"/>
      <c r="E56" s="48">
        <f>G33</f>
        <v>1282.9800999999998</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1.645E-3</v>
      </c>
      <c r="Y56" s="918"/>
    </row>
    <row r="57" spans="1:25" ht="18.75" customHeight="1" x14ac:dyDescent="0.25">
      <c r="A57" s="237"/>
      <c r="H57" s="53" t="s">
        <v>68</v>
      </c>
      <c r="I57" s="943">
        <f>IFERROR(ROUND(E56/I56,6),0)</f>
        <v>5.6010000000000001E-3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376.88000000000005</v>
      </c>
      <c r="U58" s="184" t="s">
        <v>66</v>
      </c>
      <c r="V58" s="916" t="s">
        <v>74</v>
      </c>
      <c r="W58" s="916"/>
      <c r="X58" s="917">
        <f>I59</f>
        <v>186156.17</v>
      </c>
      <c r="Y58" s="917"/>
    </row>
    <row r="59" spans="1:25" ht="18.75" customHeight="1" x14ac:dyDescent="0.25">
      <c r="A59" s="897" t="s">
        <v>73</v>
      </c>
      <c r="B59" s="897"/>
      <c r="C59" s="237"/>
      <c r="D59" s="237"/>
      <c r="E59" s="48">
        <f>E28</f>
        <v>376.88000000000005</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2.0249999999999999E-3</v>
      </c>
      <c r="Y59" s="918"/>
    </row>
    <row r="60" spans="1:25" ht="18" customHeight="1" x14ac:dyDescent="0.25">
      <c r="A60" s="237"/>
      <c r="H60" s="53" t="s">
        <v>68</v>
      </c>
      <c r="I60" s="943">
        <f>IFERROR(ROUND(E59/I59,6),0)</f>
        <v>2.0249999999999999E-3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376.88000000000005</v>
      </c>
      <c r="U61" s="184" t="s">
        <v>66</v>
      </c>
      <c r="V61" s="916" t="s">
        <v>76</v>
      </c>
      <c r="W61" s="916"/>
      <c r="X61" s="917">
        <f>I62</f>
        <v>215016.58000000002</v>
      </c>
      <c r="Y61" s="917"/>
    </row>
    <row r="62" spans="1:25" ht="30.75" customHeight="1" x14ac:dyDescent="0.25">
      <c r="A62" s="897" t="s">
        <v>73</v>
      </c>
      <c r="B62" s="897"/>
      <c r="C62" s="237"/>
      <c r="D62" s="237"/>
      <c r="E62" s="48">
        <f>E28</f>
        <v>376.88000000000005</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1.753E-3</v>
      </c>
      <c r="Y62" s="918"/>
    </row>
    <row r="63" spans="1:25" ht="19.5" customHeight="1" x14ac:dyDescent="0.25">
      <c r="A63" s="237"/>
      <c r="H63" s="53" t="s">
        <v>68</v>
      </c>
      <c r="I63" s="943">
        <f>IFERROR(ROUND(E62/I62,6),0)</f>
        <v>1.753E-3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376.88000000000005</v>
      </c>
      <c r="U64" s="184" t="s">
        <v>66</v>
      </c>
      <c r="V64" s="916" t="s">
        <v>165</v>
      </c>
      <c r="W64" s="916"/>
      <c r="X64" s="917">
        <f>I65</f>
        <v>185851.83000000002</v>
      </c>
      <c r="Y64" s="917"/>
    </row>
    <row r="65" spans="1:26" ht="49.5" customHeight="1" x14ac:dyDescent="0.25">
      <c r="A65" s="897" t="s">
        <v>73</v>
      </c>
      <c r="B65" s="897"/>
      <c r="C65" s="237"/>
      <c r="D65" s="237"/>
      <c r="E65" s="48">
        <f>E28</f>
        <v>376.88000000000005</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2.0279999999999999E-3</v>
      </c>
      <c r="Y65" s="918"/>
    </row>
    <row r="66" spans="1:26" ht="19.5" customHeight="1" x14ac:dyDescent="0.25">
      <c r="A66" s="237"/>
      <c r="H66" s="53" t="s">
        <v>68</v>
      </c>
      <c r="I66" s="943">
        <f>IFERROR(ROUND(E65/I65,6),0)</f>
        <v>2.0279999999999999E-3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1.753E-3</v>
      </c>
      <c r="Y67" s="271">
        <f>ROUND(V67*X67,2)</f>
        <v>82900.679999999993</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1.753E-3</v>
      </c>
      <c r="J68" s="138">
        <f>ROUND(G68*I68,2)</f>
        <v>82900.679999999993</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1.75E-3</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1.75E-3</v>
      </c>
      <c r="J70" s="138">
        <f>ROUND(G70*I70,2)</f>
        <v>0</v>
      </c>
      <c r="M70" s="2"/>
      <c r="R70" s="860" t="s">
        <v>167</v>
      </c>
      <c r="S70" s="860"/>
      <c r="T70" s="860"/>
      <c r="U70" s="253"/>
      <c r="V70" s="193">
        <f>G71</f>
        <v>19167881</v>
      </c>
      <c r="W70" s="239" t="s">
        <v>81</v>
      </c>
      <c r="X70" s="176">
        <f>X65</f>
        <v>2.0279999999999999E-3</v>
      </c>
      <c r="Y70" s="266">
        <f t="shared" si="11"/>
        <v>38872.46</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2.0279999999999999E-3</v>
      </c>
      <c r="J71" s="138">
        <f>ROUND(G71*I71,2)</f>
        <v>38872.46</v>
      </c>
      <c r="M71" s="2"/>
      <c r="R71" s="240" t="s">
        <v>168</v>
      </c>
      <c r="S71" s="240"/>
      <c r="T71" s="240"/>
      <c r="U71" s="253"/>
      <c r="V71" s="171">
        <f>G72</f>
        <v>11546889</v>
      </c>
      <c r="W71" s="239" t="s">
        <v>81</v>
      </c>
      <c r="X71" s="176">
        <f>X59</f>
        <v>2.0249999999999999E-3</v>
      </c>
      <c r="Y71" s="266">
        <f t="shared" si="11"/>
        <v>23382.45</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2.0249999999999999E-3</v>
      </c>
      <c r="J72" s="138">
        <f>ROUND(G72*I72,2)</f>
        <v>23382.45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66" t="s">
        <v>101</v>
      </c>
      <c r="B84" s="866"/>
      <c r="C84" s="866"/>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5.6010000000000001E-3</v>
      </c>
      <c r="J85" s="138">
        <f>ROUND(G85*I85,2)</f>
        <v>1505639.97</v>
      </c>
      <c r="K85" s="70"/>
      <c r="L85" s="70"/>
      <c r="M85" s="71"/>
      <c r="N85" s="70"/>
      <c r="O85" s="70"/>
      <c r="P85" s="70"/>
      <c r="Q85" s="70"/>
      <c r="R85" s="860" t="s">
        <v>172</v>
      </c>
      <c r="S85" s="860"/>
      <c r="T85" s="860"/>
      <c r="U85" s="253"/>
      <c r="V85" s="171">
        <f>G85</f>
        <v>268816278</v>
      </c>
      <c r="W85" s="239" t="s">
        <v>81</v>
      </c>
      <c r="X85" s="176">
        <f>X56</f>
        <v>1.645E-3</v>
      </c>
      <c r="Y85" s="266">
        <f t="shared" ref="Y85:Y87" si="12">ROUND(V85*X85,2)</f>
        <v>442202.78</v>
      </c>
    </row>
    <row r="86" spans="1:26" ht="14.25" customHeight="1" x14ac:dyDescent="0.25">
      <c r="A86" s="896" t="s">
        <v>104</v>
      </c>
      <c r="B86" s="896"/>
      <c r="C86" s="896"/>
      <c r="D86" s="896"/>
      <c r="E86" s="896"/>
      <c r="F86" s="248" t="s">
        <v>103</v>
      </c>
      <c r="G86" s="139">
        <v>0</v>
      </c>
      <c r="H86" s="223" t="s">
        <v>81</v>
      </c>
      <c r="I86" s="41">
        <f>I57</f>
        <v>5.6010000000000001E-3</v>
      </c>
      <c r="J86" s="138">
        <f>ROUND(G86*I86,2)</f>
        <v>0</v>
      </c>
      <c r="K86" s="70"/>
      <c r="L86" s="71"/>
      <c r="M86" s="76"/>
      <c r="N86" s="76"/>
      <c r="O86" s="76"/>
      <c r="P86" s="76"/>
      <c r="Q86" s="70"/>
      <c r="R86" s="860" t="s">
        <v>173</v>
      </c>
      <c r="S86" s="860"/>
      <c r="T86" s="860"/>
      <c r="U86" s="253"/>
      <c r="V86" s="203">
        <f>G86</f>
        <v>0</v>
      </c>
      <c r="W86" s="239" t="s">
        <v>81</v>
      </c>
      <c r="X86" s="176">
        <f>X56</f>
        <v>1.645E-3</v>
      </c>
      <c r="Y86" s="266">
        <f t="shared" si="12"/>
        <v>0</v>
      </c>
    </row>
    <row r="87" spans="1:26" ht="18" customHeight="1" x14ac:dyDescent="0.25">
      <c r="A87" s="896" t="s">
        <v>105</v>
      </c>
      <c r="B87" s="896"/>
      <c r="C87" s="896"/>
      <c r="D87" s="896"/>
      <c r="E87" s="896"/>
      <c r="F87" s="248" t="s">
        <v>84</v>
      </c>
      <c r="G87" s="139">
        <v>0</v>
      </c>
      <c r="H87" s="223" t="s">
        <v>81</v>
      </c>
      <c r="I87" s="41">
        <f>I54</f>
        <v>1.75E-3</v>
      </c>
      <c r="J87" s="62">
        <f>ROUND(G87*I87,2)</f>
        <v>0</v>
      </c>
      <c r="K87" s="77"/>
      <c r="L87" s="70"/>
      <c r="M87" s="71"/>
      <c r="N87" s="70"/>
      <c r="O87" s="70"/>
      <c r="P87" s="70"/>
      <c r="Q87" s="70"/>
      <c r="R87" s="240" t="s">
        <v>174</v>
      </c>
      <c r="S87" s="240"/>
      <c r="T87" s="240"/>
      <c r="U87" s="253"/>
      <c r="V87" s="203">
        <f>G87</f>
        <v>0</v>
      </c>
      <c r="W87" s="239" t="s">
        <v>81</v>
      </c>
      <c r="X87" s="176">
        <f>X53</f>
        <v>1.75E-3</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498.78579999999999</v>
      </c>
      <c r="C90" s="245"/>
      <c r="D90" s="867">
        <f>I6</f>
        <v>1.0355000000000001</v>
      </c>
      <c r="E90" s="867"/>
      <c r="F90" s="867"/>
      <c r="G90" s="122">
        <f>'[1]Detail 2025-26 FEFP Second'!AB3</f>
        <v>958.42</v>
      </c>
      <c r="H90" s="47" t="s">
        <v>68</v>
      </c>
      <c r="I90" s="141">
        <f>ROUND(B90*D90*G90,2)</f>
        <v>495016.93</v>
      </c>
      <c r="J90" s="81"/>
      <c r="K90" s="70"/>
      <c r="L90" s="70"/>
      <c r="M90" s="71"/>
      <c r="N90" s="70"/>
      <c r="O90" s="70"/>
      <c r="P90" s="70"/>
      <c r="Q90" s="70"/>
      <c r="R90" s="238" t="s">
        <v>110</v>
      </c>
      <c r="S90" s="251">
        <f>X12+X13+X18+X21+X24</f>
        <v>129.62</v>
      </c>
      <c r="T90" s="922">
        <f>X6</f>
        <v>1.0355000000000001</v>
      </c>
      <c r="U90" s="922"/>
      <c r="V90" s="122">
        <f>G90</f>
        <v>958.42</v>
      </c>
      <c r="W90" s="182" t="s">
        <v>68</v>
      </c>
      <c r="X90" s="272">
        <f>ROUND(S90*T90*V90,2)</f>
        <v>128640.58</v>
      </c>
      <c r="Y90" s="205"/>
    </row>
    <row r="91" spans="1:26" ht="21" customHeight="1" x14ac:dyDescent="0.25">
      <c r="A91" s="82" t="s">
        <v>60</v>
      </c>
      <c r="B91" s="245">
        <f>I14+I15+I19+I22+I25</f>
        <v>425.6651</v>
      </c>
      <c r="C91" s="245"/>
      <c r="D91" s="867">
        <f>I6</f>
        <v>1.0355000000000001</v>
      </c>
      <c r="E91" s="867"/>
      <c r="F91" s="867"/>
      <c r="G91" s="122">
        <f>'[1]Detail 2025-26 FEFP Second'!AC3</f>
        <v>915.09</v>
      </c>
      <c r="H91" s="47" t="s">
        <v>68</v>
      </c>
      <c r="I91" s="140">
        <f>ROUND(B91*D91*G91,2)</f>
        <v>403349.9</v>
      </c>
      <c r="K91" s="70"/>
      <c r="L91" s="70"/>
      <c r="M91" s="71"/>
      <c r="N91" s="70"/>
      <c r="O91" s="70"/>
      <c r="P91" s="70"/>
      <c r="Q91" s="70"/>
      <c r="R91" s="206" t="s">
        <v>60</v>
      </c>
      <c r="S91" s="251">
        <f>X14+X15+X19+X22+X25</f>
        <v>116.09</v>
      </c>
      <c r="T91" s="922">
        <f>X6</f>
        <v>1.0355000000000001</v>
      </c>
      <c r="U91" s="922"/>
      <c r="V91" s="122">
        <f>G91</f>
        <v>915.09</v>
      </c>
      <c r="W91" s="182" t="s">
        <v>68</v>
      </c>
      <c r="X91" s="272">
        <f>ROUND(S91*T91*V91,2)</f>
        <v>110004.06</v>
      </c>
      <c r="Y91" s="170"/>
    </row>
    <row r="92" spans="1:26" ht="19.5" customHeight="1" thickBot="1" x14ac:dyDescent="0.3">
      <c r="A92" s="83" t="s">
        <v>61</v>
      </c>
      <c r="B92" s="109">
        <f>I16+I17+I20+I23+I26+I27</f>
        <v>358.5292</v>
      </c>
      <c r="C92" s="109"/>
      <c r="D92" s="867">
        <f>I6</f>
        <v>1.0355000000000001</v>
      </c>
      <c r="E92" s="867"/>
      <c r="F92" s="867"/>
      <c r="G92" s="122">
        <f>'[1]Detail 2025-26 FEFP Second'!AD3</f>
        <v>917.3</v>
      </c>
      <c r="H92" s="47" t="s">
        <v>68</v>
      </c>
      <c r="I92" s="575">
        <f>ROUND(B92*D92*G92,2)</f>
        <v>340554.03</v>
      </c>
      <c r="K92" s="70"/>
      <c r="L92" s="70"/>
      <c r="M92" s="71"/>
      <c r="N92" s="70"/>
      <c r="O92" s="70"/>
      <c r="P92" s="70"/>
      <c r="Q92" s="70"/>
      <c r="R92" s="207" t="s">
        <v>61</v>
      </c>
      <c r="S92" s="208">
        <f>X16+X17+X20+X23+X26+X27</f>
        <v>131.17000000000002</v>
      </c>
      <c r="T92" s="922">
        <f>X6</f>
        <v>1.0355000000000001</v>
      </c>
      <c r="U92" s="922"/>
      <c r="V92" s="122">
        <f>G92</f>
        <v>917.3</v>
      </c>
      <c r="W92" s="182" t="s">
        <v>68</v>
      </c>
      <c r="X92" s="272">
        <f>ROUND(S92*T92*V92,2)</f>
        <v>124593.68</v>
      </c>
      <c r="Y92" s="170"/>
    </row>
    <row r="93" spans="1:26" ht="18.75" customHeight="1" thickBot="1" x14ac:dyDescent="0.3">
      <c r="A93" s="247" t="s">
        <v>111</v>
      </c>
      <c r="B93" s="109">
        <f>SUM(B90:B92)</f>
        <v>1282.9801</v>
      </c>
      <c r="C93" s="109"/>
      <c r="D93" s="109"/>
      <c r="E93" s="937" t="s">
        <v>112</v>
      </c>
      <c r="F93" s="937"/>
      <c r="G93" s="937"/>
      <c r="H93" s="937"/>
      <c r="I93" s="937"/>
      <c r="J93" s="127">
        <f>IF(A1=75,0,I92+I91+I90)</f>
        <v>1238920.8600000001</v>
      </c>
      <c r="K93" s="70"/>
      <c r="L93" s="70"/>
      <c r="M93" s="71"/>
      <c r="N93" s="70"/>
      <c r="O93" s="70"/>
      <c r="P93" s="70"/>
      <c r="Q93" s="70"/>
      <c r="R93" s="252" t="s">
        <v>111</v>
      </c>
      <c r="S93" s="210">
        <f>SUM(S90:S92)</f>
        <v>376.88</v>
      </c>
      <c r="T93" s="923" t="s">
        <v>112</v>
      </c>
      <c r="U93" s="924"/>
      <c r="V93" s="924"/>
      <c r="W93" s="924"/>
      <c r="X93" s="924"/>
      <c r="Y93" s="266">
        <f>IF(R1=75,0,X92+X91+X90)</f>
        <v>363238.32</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0.5</v>
      </c>
      <c r="U96" s="928"/>
      <c r="V96" s="928"/>
      <c r="W96" s="261" t="s">
        <v>117</v>
      </c>
      <c r="X96" s="212">
        <f>I97</f>
        <v>617</v>
      </c>
      <c r="Y96" s="266">
        <f>ROUND(X96*T96,2)</f>
        <v>308.5</v>
      </c>
    </row>
    <row r="97" spans="1:25" ht="17.25" customHeight="1" x14ac:dyDescent="0.25">
      <c r="A97" s="910" t="s">
        <v>116</v>
      </c>
      <c r="B97" s="910"/>
      <c r="C97" s="279">
        <v>1</v>
      </c>
      <c r="D97" s="279">
        <v>0</v>
      </c>
      <c r="E97" s="989">
        <f>(C97+D97)/2</f>
        <v>0.5</v>
      </c>
      <c r="F97" s="940"/>
      <c r="G97" s="940"/>
      <c r="H97" s="224" t="s">
        <v>117</v>
      </c>
      <c r="I97" s="130">
        <f>IF(A1&gt;67,0,INDEX('[1]Transportation Per Student'!F$1:F$65536,MATCH(A1,'[1]Transportation Per Student'!B$1:B$65536)))</f>
        <v>617</v>
      </c>
      <c r="J97" s="138">
        <f>ROUND(I97*E97,2)</f>
        <v>308.5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1</v>
      </c>
      <c r="D98" s="279">
        <v>0</v>
      </c>
      <c r="E98" s="989">
        <f>(C98+D98)/2</f>
        <v>0.5</v>
      </c>
      <c r="F98" s="940"/>
      <c r="G98" s="940"/>
      <c r="H98" s="224" t="s">
        <v>117</v>
      </c>
      <c r="I98" s="130">
        <f>IF(A1&gt;67,0,INDEX('[1]Transportation Per Student'!J$1:J$65536,MATCH(A1,'[1]Transportation Per Student'!B$1:B$65536)))</f>
        <v>1870</v>
      </c>
      <c r="J98" s="138">
        <f>ROUND(I98*E98,2)</f>
        <v>935</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10711142.119999999</v>
      </c>
      <c r="L107" s="576"/>
      <c r="R107" s="860" t="s">
        <v>125</v>
      </c>
      <c r="S107" s="860"/>
      <c r="T107" s="860"/>
      <c r="U107" s="860"/>
      <c r="V107" s="860"/>
      <c r="W107" s="860"/>
      <c r="X107" s="860"/>
      <c r="Y107" s="723">
        <f>SUM(Y106,Y105,Y97,Y96,Y93,Y86,Y85,Y84,Y70,Y69,Y67,Y33,Y71,Y50,Y87,Y83)</f>
        <v>3047611.9700000007</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10209827.869999999</v>
      </c>
      <c r="R109" s="170" t="s">
        <v>180</v>
      </c>
      <c r="S109" s="170"/>
      <c r="T109" s="170"/>
      <c r="U109" s="170"/>
      <c r="V109" s="170"/>
      <c r="W109" s="170"/>
      <c r="X109" s="170"/>
      <c r="Y109" s="724">
        <f>Y107-Y38</f>
        <v>2546297.7200000007</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4">
        <v>1</v>
      </c>
      <c r="J111" s="137">
        <f>Y109</f>
        <v>2546297.7200000007</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2546297.7200000007</v>
      </c>
      <c r="J114" s="711">
        <f>ROUND(IF(E28=0,0,IF(E28&gt;250,-(((250/E28)*I114)*IF(H113="H",0.02,0.05)),IF(H113="H",-0.02*I114,-0.05*I114))),2)</f>
        <v>-84453.2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10626688.92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Payments'!R82</f>
        <v>-5271885.3299999991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5354803.5900000008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892467.27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42861.69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35" workbookViewId="0">
      <selection activeCell="D45" sqref="D4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446</v>
      </c>
      <c r="B2" s="102"/>
      <c r="C2" s="102"/>
      <c r="D2" s="102"/>
      <c r="E2" s="100"/>
      <c r="F2" s="100"/>
      <c r="G2" s="100"/>
      <c r="H2" s="100"/>
      <c r="I2" s="100"/>
      <c r="J2" s="100"/>
      <c r="K2" s="6"/>
      <c r="L2" s="6"/>
      <c r="M2" s="6"/>
      <c r="N2" s="6"/>
      <c r="O2" s="6"/>
      <c r="P2" s="6"/>
      <c r="Q2" s="6"/>
      <c r="R2" s="873" t="str">
        <f>Revenue_Estimate_Worksheet_for___________Charter_School</f>
        <v>Revenue Estimate Worksheet: The Learning Academy at The Els Center of Excellence - 3083</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Second'!$C$1:$C$65536,MATCH('3083'!$A$1,'[1]Detail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0.5</v>
      </c>
      <c r="E15" s="965">
        <f t="shared" si="0"/>
        <v>0.5</v>
      </c>
      <c r="F15" s="965"/>
      <c r="G15" s="966">
        <v>1</v>
      </c>
      <c r="H15" s="966"/>
      <c r="I15" s="578">
        <f t="shared" si="2"/>
        <v>0.5</v>
      </c>
      <c r="J15" s="579">
        <f t="shared" si="1"/>
        <v>2781.66</v>
      </c>
      <c r="M15" s="2"/>
      <c r="R15" s="858" t="s">
        <v>23</v>
      </c>
      <c r="S15" s="858"/>
      <c r="T15" s="889">
        <f t="shared" si="3"/>
        <v>0.5</v>
      </c>
      <c r="U15" s="889"/>
      <c r="V15" s="894">
        <v>1</v>
      </c>
      <c r="W15" s="894"/>
      <c r="X15" s="156">
        <f t="shared" si="4"/>
        <v>0.5</v>
      </c>
      <c r="Y15" s="266">
        <f t="shared" ref="Y15:Y27" si="6">ROUND(ROUND(ROUND(X15*$E$6,4)*($I$6),2)*(MAX($I$7,1)),2)</f>
        <v>2781.66</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4.43</v>
      </c>
      <c r="D17" s="415">
        <v>4.97</v>
      </c>
      <c r="E17" s="965">
        <f t="shared" si="0"/>
        <v>9.3999999999999986</v>
      </c>
      <c r="F17" s="965"/>
      <c r="G17" s="966">
        <v>0.97199999999999998</v>
      </c>
      <c r="H17" s="966"/>
      <c r="I17" s="578">
        <f t="shared" si="2"/>
        <v>9.1367999999999991</v>
      </c>
      <c r="J17" s="579">
        <f t="shared" si="1"/>
        <v>50831.01</v>
      </c>
      <c r="M17" s="2"/>
      <c r="R17" s="858" t="s">
        <v>25</v>
      </c>
      <c r="S17" s="858"/>
      <c r="T17" s="889">
        <f t="shared" si="3"/>
        <v>9.3999999999999986</v>
      </c>
      <c r="U17" s="889"/>
      <c r="V17" s="894">
        <v>1</v>
      </c>
      <c r="W17" s="894"/>
      <c r="X17" s="156">
        <f t="shared" si="4"/>
        <v>9.4</v>
      </c>
      <c r="Y17" s="266">
        <f t="shared" si="6"/>
        <v>52295.28</v>
      </c>
    </row>
    <row r="18" spans="1:25" x14ac:dyDescent="0.25">
      <c r="A18" s="859" t="s">
        <v>26</v>
      </c>
      <c r="B18" s="859"/>
      <c r="C18" s="415">
        <v>3</v>
      </c>
      <c r="D18" s="415">
        <v>3.04</v>
      </c>
      <c r="E18" s="965">
        <f t="shared" si="0"/>
        <v>6.04</v>
      </c>
      <c r="F18" s="965"/>
      <c r="G18" s="966">
        <v>3.609</v>
      </c>
      <c r="H18" s="966"/>
      <c r="I18" s="578">
        <f t="shared" si="2"/>
        <v>21.798400000000001</v>
      </c>
      <c r="J18" s="579">
        <f t="shared" si="1"/>
        <v>121271.63</v>
      </c>
      <c r="M18" s="2"/>
      <c r="R18" s="858" t="s">
        <v>26</v>
      </c>
      <c r="S18" s="858"/>
      <c r="T18" s="889">
        <f t="shared" si="3"/>
        <v>6.04</v>
      </c>
      <c r="U18" s="889"/>
      <c r="V18" s="894">
        <v>1</v>
      </c>
      <c r="W18" s="894"/>
      <c r="X18" s="156">
        <f t="shared" si="4"/>
        <v>6.04</v>
      </c>
      <c r="Y18" s="266">
        <f t="shared" si="6"/>
        <v>33602.5</v>
      </c>
    </row>
    <row r="19" spans="1:25" x14ac:dyDescent="0.25">
      <c r="A19" s="859" t="s">
        <v>27</v>
      </c>
      <c r="B19" s="859"/>
      <c r="C19" s="415">
        <v>8.51</v>
      </c>
      <c r="D19" s="415">
        <v>8.61</v>
      </c>
      <c r="E19" s="965">
        <f t="shared" si="0"/>
        <v>17.119999999999997</v>
      </c>
      <c r="F19" s="965"/>
      <c r="G19" s="966">
        <v>3.609</v>
      </c>
      <c r="H19" s="966"/>
      <c r="I19" s="578">
        <f t="shared" si="2"/>
        <v>61.786099999999998</v>
      </c>
      <c r="J19" s="579">
        <f t="shared" si="1"/>
        <v>343736.3</v>
      </c>
      <c r="M19" s="2"/>
      <c r="R19" s="858" t="s">
        <v>27</v>
      </c>
      <c r="S19" s="858"/>
      <c r="T19" s="889">
        <f t="shared" si="3"/>
        <v>17.119999999999997</v>
      </c>
      <c r="U19" s="889"/>
      <c r="V19" s="894">
        <v>1</v>
      </c>
      <c r="W19" s="894"/>
      <c r="X19" s="156">
        <f t="shared" si="4"/>
        <v>17.12</v>
      </c>
      <c r="Y19" s="266">
        <f t="shared" si="6"/>
        <v>95244.160000000003</v>
      </c>
    </row>
    <row r="20" spans="1:25" x14ac:dyDescent="0.25">
      <c r="A20" s="859" t="s">
        <v>28</v>
      </c>
      <c r="B20" s="859"/>
      <c r="C20" s="415">
        <v>22.02</v>
      </c>
      <c r="D20" s="415">
        <v>22.28</v>
      </c>
      <c r="E20" s="965">
        <f t="shared" si="0"/>
        <v>44.3</v>
      </c>
      <c r="F20" s="965"/>
      <c r="G20" s="966">
        <v>3.609</v>
      </c>
      <c r="H20" s="966"/>
      <c r="I20" s="578">
        <f t="shared" si="2"/>
        <v>159.87870000000001</v>
      </c>
      <c r="J20" s="579">
        <f t="shared" si="1"/>
        <v>889457.54</v>
      </c>
      <c r="M20" s="2"/>
      <c r="R20" s="858" t="s">
        <v>28</v>
      </c>
      <c r="S20" s="858"/>
      <c r="T20" s="889">
        <f t="shared" si="3"/>
        <v>44.3</v>
      </c>
      <c r="U20" s="889"/>
      <c r="V20" s="894">
        <v>1</v>
      </c>
      <c r="W20" s="894"/>
      <c r="X20" s="156">
        <f t="shared" si="4"/>
        <v>44.3</v>
      </c>
      <c r="Y20" s="266">
        <f t="shared" si="6"/>
        <v>246455.4</v>
      </c>
    </row>
    <row r="21" spans="1:25" ht="15" customHeight="1" x14ac:dyDescent="0.25">
      <c r="A21" s="859" t="s">
        <v>29</v>
      </c>
      <c r="B21" s="859"/>
      <c r="C21" s="415">
        <v>5.99</v>
      </c>
      <c r="D21" s="415">
        <v>6.14</v>
      </c>
      <c r="E21" s="965">
        <f t="shared" si="0"/>
        <v>12.129999999999999</v>
      </c>
      <c r="F21" s="965"/>
      <c r="G21" s="966">
        <v>6.0640000000000001</v>
      </c>
      <c r="H21" s="966"/>
      <c r="I21" s="578">
        <f t="shared" si="2"/>
        <v>73.556299999999993</v>
      </c>
      <c r="J21" s="579">
        <f t="shared" si="1"/>
        <v>409217.77</v>
      </c>
      <c r="M21" s="2"/>
      <c r="R21" s="858" t="s">
        <v>29</v>
      </c>
      <c r="S21" s="858"/>
      <c r="T21" s="889">
        <f t="shared" si="3"/>
        <v>12.129999999999999</v>
      </c>
      <c r="U21" s="889"/>
      <c r="V21" s="894">
        <v>1</v>
      </c>
      <c r="W21" s="894"/>
      <c r="X21" s="156">
        <f t="shared" si="4"/>
        <v>12.13</v>
      </c>
      <c r="Y21" s="266">
        <f t="shared" si="6"/>
        <v>67483.16</v>
      </c>
    </row>
    <row r="22" spans="1:25" ht="15" customHeight="1" x14ac:dyDescent="0.25">
      <c r="A22" s="859" t="s">
        <v>30</v>
      </c>
      <c r="B22" s="859"/>
      <c r="C22" s="415">
        <v>10.98</v>
      </c>
      <c r="D22" s="415">
        <v>11.26</v>
      </c>
      <c r="E22" s="965">
        <f t="shared" si="0"/>
        <v>22.240000000000002</v>
      </c>
      <c r="F22" s="965"/>
      <c r="G22" s="966">
        <v>6.0640000000000001</v>
      </c>
      <c r="H22" s="966"/>
      <c r="I22" s="578">
        <f t="shared" si="2"/>
        <v>134.86340000000001</v>
      </c>
      <c r="J22" s="579">
        <f t="shared" si="1"/>
        <v>750289.23</v>
      </c>
      <c r="M22" s="2"/>
      <c r="R22" s="858" t="s">
        <v>30</v>
      </c>
      <c r="S22" s="858"/>
      <c r="T22" s="889">
        <f t="shared" si="3"/>
        <v>22.240000000000002</v>
      </c>
      <c r="U22" s="889"/>
      <c r="V22" s="894">
        <v>1</v>
      </c>
      <c r="W22" s="894"/>
      <c r="X22" s="156">
        <f t="shared" si="4"/>
        <v>22.24</v>
      </c>
      <c r="Y22" s="266">
        <f t="shared" si="6"/>
        <v>123728.4</v>
      </c>
    </row>
    <row r="23" spans="1:25" ht="15" customHeight="1" x14ac:dyDescent="0.25">
      <c r="A23" s="859" t="s">
        <v>31</v>
      </c>
      <c r="B23" s="859"/>
      <c r="C23" s="415">
        <v>25.44</v>
      </c>
      <c r="D23" s="415">
        <v>26.11</v>
      </c>
      <c r="E23" s="965">
        <f t="shared" si="0"/>
        <v>51.55</v>
      </c>
      <c r="F23" s="965"/>
      <c r="G23" s="966">
        <v>6.0640000000000001</v>
      </c>
      <c r="H23" s="966"/>
      <c r="I23" s="578">
        <f t="shared" si="2"/>
        <v>312.5992</v>
      </c>
      <c r="J23" s="579">
        <f t="shared" si="1"/>
        <v>1739091.66</v>
      </c>
      <c r="M23" s="2"/>
      <c r="R23" s="858" t="s">
        <v>31</v>
      </c>
      <c r="S23" s="858"/>
      <c r="T23" s="889">
        <f t="shared" si="3"/>
        <v>51.55</v>
      </c>
      <c r="U23" s="889"/>
      <c r="V23" s="894">
        <v>1</v>
      </c>
      <c r="W23" s="894"/>
      <c r="X23" s="156">
        <f t="shared" si="4"/>
        <v>51.55</v>
      </c>
      <c r="Y23" s="266">
        <f t="shared" si="6"/>
        <v>286789.52</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80.37</v>
      </c>
      <c r="D28" s="126">
        <f>SUM(D12:D27)</f>
        <v>82.91</v>
      </c>
      <c r="E28" s="964">
        <f>SUM(E12:E27)</f>
        <v>163.27999999999997</v>
      </c>
      <c r="F28" s="964"/>
      <c r="G28" s="959"/>
      <c r="H28" s="959"/>
      <c r="I28" s="23">
        <f>SUM(I12:I27)</f>
        <v>774.11889999999994</v>
      </c>
      <c r="J28" s="127">
        <f>SUM(J12:J27)</f>
        <v>4306676.8</v>
      </c>
      <c r="M28" s="2"/>
      <c r="R28" s="905" t="s">
        <v>36</v>
      </c>
      <c r="S28" s="905"/>
      <c r="T28" s="906">
        <f>SUM(T12:T27)</f>
        <v>163.27999999999997</v>
      </c>
      <c r="U28" s="906"/>
      <c r="V28" s="907"/>
      <c r="W28" s="907"/>
      <c r="X28" s="158">
        <f>SUM(X12:X27)</f>
        <v>163.27999999999997</v>
      </c>
      <c r="Y28" s="266">
        <f>SUM(Y12:Y27)</f>
        <v>908380.08000000007</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774.11889999999994</v>
      </c>
      <c r="H33" s="959" t="s">
        <v>45</v>
      </c>
      <c r="I33" s="959"/>
      <c r="J33" s="32">
        <f>SUM(J32,J28)</f>
        <v>4306676.8</v>
      </c>
      <c r="M33" s="2"/>
      <c r="R33" s="909" t="s">
        <v>44</v>
      </c>
      <c r="S33" s="909"/>
      <c r="T33" s="909"/>
      <c r="U33" s="909"/>
      <c r="V33" s="164" t="e">
        <f>V32+X28</f>
        <v>#REF!</v>
      </c>
      <c r="W33" s="907" t="s">
        <v>45</v>
      </c>
      <c r="X33" s="907"/>
      <c r="Y33" s="165">
        <f>SUM(Y32,Y28)</f>
        <v>908380.08000000007</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4261458.6399999997</v>
      </c>
      <c r="H36" s="223" t="s">
        <v>49</v>
      </c>
      <c r="I36" s="38">
        <v>6.6699999999999995E-2</v>
      </c>
      <c r="J36" s="131">
        <f>ROUND(G36*I36,2)</f>
        <v>284239.28999999998</v>
      </c>
      <c r="K36" s="39"/>
      <c r="L36" s="233"/>
      <c r="M36" s="233"/>
      <c r="N36" s="233"/>
      <c r="O36" s="31"/>
      <c r="P36" s="232"/>
      <c r="Q36" s="232"/>
      <c r="R36" s="858" t="s">
        <v>47</v>
      </c>
      <c r="S36" s="858"/>
      <c r="T36" s="858"/>
      <c r="U36" s="253"/>
      <c r="V36" s="172">
        <v>895695.69</v>
      </c>
      <c r="W36" s="239" t="s">
        <v>49</v>
      </c>
      <c r="X36" s="174">
        <v>6.6699999999999995E-2</v>
      </c>
      <c r="Y36" s="266">
        <f>J36</f>
        <v>284239.28999999998</v>
      </c>
    </row>
    <row r="37" spans="1:25" ht="20.25" customHeight="1" x14ac:dyDescent="0.25">
      <c r="A37" s="859" t="s">
        <v>50</v>
      </c>
      <c r="B37" s="859"/>
      <c r="C37" s="859"/>
      <c r="D37" s="859"/>
      <c r="E37" s="859"/>
      <c r="F37" s="248" t="s">
        <v>48</v>
      </c>
      <c r="G37" s="132">
        <v>4261458.6399999997</v>
      </c>
      <c r="H37" s="223" t="s">
        <v>49</v>
      </c>
      <c r="I37" s="38">
        <v>5.4000000000000003E-3</v>
      </c>
      <c r="J37" s="131">
        <f>ROUND(G37*I37,2)</f>
        <v>23011.88</v>
      </c>
      <c r="K37" s="39"/>
      <c r="L37" s="233"/>
      <c r="M37" s="233"/>
      <c r="N37" s="233"/>
      <c r="O37" s="31"/>
      <c r="P37" s="232"/>
      <c r="Q37" s="232"/>
      <c r="R37" s="858" t="s">
        <v>50</v>
      </c>
      <c r="S37" s="858"/>
      <c r="T37" s="858"/>
      <c r="U37" s="253"/>
      <c r="V37" s="172">
        <v>895695.69</v>
      </c>
      <c r="W37" s="239" t="s">
        <v>49</v>
      </c>
      <c r="X37" s="174">
        <v>5.4000000000000003E-3</v>
      </c>
      <c r="Y37" s="266">
        <f>J37</f>
        <v>23011.88</v>
      </c>
    </row>
    <row r="38" spans="1:25" ht="20.25" customHeight="1" x14ac:dyDescent="0.25">
      <c r="A38" s="896" t="s">
        <v>51</v>
      </c>
      <c r="B38" s="896"/>
      <c r="C38" s="896"/>
      <c r="D38" s="896"/>
      <c r="E38" s="896"/>
      <c r="F38" s="248" t="s">
        <v>52</v>
      </c>
      <c r="G38" s="40"/>
      <c r="H38" s="223"/>
      <c r="I38" s="41"/>
      <c r="J38" s="131">
        <f>SUM(J36:J37)</f>
        <v>307251.17</v>
      </c>
      <c r="K38" s="39"/>
      <c r="L38" s="233"/>
      <c r="M38" s="233"/>
      <c r="N38" s="233"/>
      <c r="O38" s="31"/>
      <c r="P38" s="232"/>
      <c r="Q38" s="232"/>
      <c r="R38" s="860" t="s">
        <v>51</v>
      </c>
      <c r="S38" s="860"/>
      <c r="T38" s="860"/>
      <c r="U38" s="253" t="s">
        <v>52</v>
      </c>
      <c r="V38" s="175"/>
      <c r="W38" s="239"/>
      <c r="X38" s="176"/>
      <c r="Y38" s="266">
        <f>Y36+Y37</f>
        <v>307251.17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0.5</v>
      </c>
      <c r="E44" s="952">
        <f t="shared" si="7"/>
        <v>0.5</v>
      </c>
      <c r="F44" s="952"/>
      <c r="G44" s="47" t="s">
        <v>60</v>
      </c>
      <c r="H44" s="223">
        <v>251</v>
      </c>
      <c r="I44" s="136">
        <f>INDEX('[1]111-112-113 ADDITIONAL FUND'!G$1:G$65536,MATCH($A$1,'[1]111-112-113 ADDITIONAL FUND'!A$1:A$65536))</f>
        <v>1173</v>
      </c>
      <c r="J44" s="137">
        <f t="shared" si="8"/>
        <v>586.5</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4.43</v>
      </c>
      <c r="D49" s="415">
        <v>4.97</v>
      </c>
      <c r="E49" s="953">
        <f t="shared" si="7"/>
        <v>9.3999999999999986</v>
      </c>
      <c r="F49" s="953"/>
      <c r="G49" s="47" t="s">
        <v>61</v>
      </c>
      <c r="H49" s="223">
        <v>253</v>
      </c>
      <c r="I49" s="136">
        <f>INDEX('[1]111-112-113 ADDITIONAL FUND'!L$1:L$65536,MATCH($A$1,'[1]111-112-113 ADDITIONAL FUND'!A$1:A$65536))</f>
        <v>6685</v>
      </c>
      <c r="J49" s="137">
        <f t="shared" si="8"/>
        <v>62839</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4.43</v>
      </c>
      <c r="D50" s="585">
        <f>SUM(D41:D49)</f>
        <v>5.47</v>
      </c>
      <c r="E50" s="954">
        <f>SUM(E41:E49)</f>
        <v>9.8999999999999986</v>
      </c>
      <c r="F50" s="954"/>
      <c r="G50" s="910" t="s">
        <v>63</v>
      </c>
      <c r="H50" s="910"/>
      <c r="I50" s="910"/>
      <c r="J50" s="276">
        <f>SUM(J41:J49)</f>
        <v>63425.5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163.27999999999997</v>
      </c>
      <c r="U52" s="184" t="s">
        <v>66</v>
      </c>
      <c r="V52" s="185"/>
      <c r="W52" s="186" t="s">
        <v>67</v>
      </c>
      <c r="X52" s="917">
        <f>I53</f>
        <v>215320.92</v>
      </c>
      <c r="Y52" s="917"/>
    </row>
    <row r="53" spans="1:25" ht="16.5" customHeight="1" x14ac:dyDescent="0.25">
      <c r="A53" s="897" t="s">
        <v>65</v>
      </c>
      <c r="B53" s="897"/>
      <c r="C53" s="237"/>
      <c r="D53" s="237"/>
      <c r="E53" s="48">
        <f>E28</f>
        <v>163.27999999999997</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7.5799999999999999E-4</v>
      </c>
      <c r="Y53" s="918"/>
    </row>
    <row r="54" spans="1:25" ht="22.5" customHeight="1" x14ac:dyDescent="0.25">
      <c r="A54" s="237"/>
      <c r="B54" s="230"/>
      <c r="C54" s="230"/>
      <c r="D54" s="230"/>
      <c r="H54" s="53" t="s">
        <v>68</v>
      </c>
      <c r="I54" s="943">
        <f>IFERROR(ROUND(E53/I53,6),0)</f>
        <v>7.5799999999999999E-4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163.29</v>
      </c>
      <c r="U55" s="184" t="s">
        <v>66</v>
      </c>
      <c r="V55" s="185"/>
      <c r="W55" s="186" t="s">
        <v>71</v>
      </c>
      <c r="X55" s="917">
        <f>I56</f>
        <v>229051.25000000003</v>
      </c>
      <c r="Y55" s="917"/>
    </row>
    <row r="56" spans="1:25" ht="16.5" customHeight="1" x14ac:dyDescent="0.25">
      <c r="A56" s="897" t="s">
        <v>70</v>
      </c>
      <c r="B56" s="897"/>
      <c r="C56" s="237"/>
      <c r="D56" s="237"/>
      <c r="E56" s="48">
        <f>G33</f>
        <v>774.11889999999994</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7.1299999999999998E-4</v>
      </c>
      <c r="Y56" s="918"/>
    </row>
    <row r="57" spans="1:25" ht="18.75" customHeight="1" x14ac:dyDescent="0.25">
      <c r="A57" s="237"/>
      <c r="H57" s="53" t="s">
        <v>68</v>
      </c>
      <c r="I57" s="943">
        <f>IFERROR(ROUND(E56/I56,6),0)</f>
        <v>3.3800000000000002E-3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163.27999999999997</v>
      </c>
      <c r="U58" s="184" t="s">
        <v>66</v>
      </c>
      <c r="V58" s="916" t="s">
        <v>74</v>
      </c>
      <c r="W58" s="916"/>
      <c r="X58" s="917">
        <f>I59</f>
        <v>186156.17</v>
      </c>
      <c r="Y58" s="917"/>
    </row>
    <row r="59" spans="1:25" ht="18.75" customHeight="1" x14ac:dyDescent="0.25">
      <c r="A59" s="897" t="s">
        <v>73</v>
      </c>
      <c r="B59" s="897"/>
      <c r="C59" s="237"/>
      <c r="D59" s="237"/>
      <c r="E59" s="48">
        <f>E28</f>
        <v>163.27999999999997</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8.7699999999999996E-4</v>
      </c>
      <c r="Y59" s="918"/>
    </row>
    <row r="60" spans="1:25" ht="18" customHeight="1" x14ac:dyDescent="0.25">
      <c r="A60" s="237"/>
      <c r="H60" s="53" t="s">
        <v>68</v>
      </c>
      <c r="I60" s="943">
        <f>IFERROR(ROUND(E59/I59,6),0)</f>
        <v>8.7699999999999996E-4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163.27999999999997</v>
      </c>
      <c r="U61" s="184" t="s">
        <v>66</v>
      </c>
      <c r="V61" s="916" t="s">
        <v>76</v>
      </c>
      <c r="W61" s="916"/>
      <c r="X61" s="917">
        <f>I62</f>
        <v>215016.58000000002</v>
      </c>
      <c r="Y61" s="917"/>
    </row>
    <row r="62" spans="1:25" ht="30.75" customHeight="1" x14ac:dyDescent="0.25">
      <c r="A62" s="897" t="s">
        <v>73</v>
      </c>
      <c r="B62" s="897"/>
      <c r="C62" s="237"/>
      <c r="D62" s="237"/>
      <c r="E62" s="48">
        <f>E28</f>
        <v>163.27999999999997</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7.5900000000000002E-4</v>
      </c>
      <c r="Y62" s="918"/>
    </row>
    <row r="63" spans="1:25" ht="19.5" customHeight="1" x14ac:dyDescent="0.25">
      <c r="A63" s="237"/>
      <c r="H63" s="53" t="s">
        <v>68</v>
      </c>
      <c r="I63" s="943">
        <f>IFERROR(ROUND(E62/I62,6),0)</f>
        <v>7.5900000000000002E-4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163.27999999999997</v>
      </c>
      <c r="U64" s="184" t="s">
        <v>66</v>
      </c>
      <c r="V64" s="916" t="s">
        <v>165</v>
      </c>
      <c r="W64" s="916"/>
      <c r="X64" s="917">
        <f>I65</f>
        <v>185851.83000000002</v>
      </c>
      <c r="Y64" s="917"/>
    </row>
    <row r="65" spans="1:26" ht="49.5" customHeight="1" x14ac:dyDescent="0.25">
      <c r="A65" s="897" t="s">
        <v>73</v>
      </c>
      <c r="B65" s="897"/>
      <c r="C65" s="237"/>
      <c r="D65" s="237"/>
      <c r="E65" s="48">
        <f>E28</f>
        <v>163.27999999999997</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8.7900000000000001E-4</v>
      </c>
      <c r="Y65" s="918"/>
    </row>
    <row r="66" spans="1:26" ht="19.5" customHeight="1" x14ac:dyDescent="0.25">
      <c r="A66" s="237"/>
      <c r="H66" s="53" t="s">
        <v>68</v>
      </c>
      <c r="I66" s="943">
        <f>IFERROR(ROUND(E65/I65,6),0)</f>
        <v>8.7900000000000001E-4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7.5900000000000002E-4</v>
      </c>
      <c r="Y67" s="271">
        <f>ROUND(V67*X67,2)</f>
        <v>35893.68</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7.5900000000000002E-4</v>
      </c>
      <c r="J68" s="138">
        <f>ROUND(G68*I68,2)</f>
        <v>35893.68</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7.5799999999999999E-4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7.5799999999999999E-4</v>
      </c>
      <c r="J70" s="138">
        <f>ROUND(G70*I70,2)</f>
        <v>0</v>
      </c>
      <c r="M70" s="2"/>
      <c r="R70" s="860" t="s">
        <v>167</v>
      </c>
      <c r="S70" s="860"/>
      <c r="T70" s="860"/>
      <c r="U70" s="253"/>
      <c r="V70" s="193">
        <f>G71</f>
        <v>19167881</v>
      </c>
      <c r="W70" s="239" t="s">
        <v>81</v>
      </c>
      <c r="X70" s="176">
        <f>X65</f>
        <v>8.7900000000000001E-4</v>
      </c>
      <c r="Y70" s="266">
        <f t="shared" si="11"/>
        <v>16848.57</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8.7900000000000001E-4</v>
      </c>
      <c r="J71" s="138">
        <f>ROUND(G71*I71,2)</f>
        <v>16848.57</v>
      </c>
      <c r="M71" s="2"/>
      <c r="R71" s="240" t="s">
        <v>168</v>
      </c>
      <c r="S71" s="240"/>
      <c r="T71" s="240"/>
      <c r="U71" s="253"/>
      <c r="V71" s="171">
        <f>G72</f>
        <v>11546889</v>
      </c>
      <c r="W71" s="239" t="s">
        <v>81</v>
      </c>
      <c r="X71" s="176">
        <f>X59</f>
        <v>8.7699999999999996E-4</v>
      </c>
      <c r="Y71" s="266">
        <f t="shared" si="11"/>
        <v>10126.620000000001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8.7699999999999996E-4</v>
      </c>
      <c r="J72" s="138">
        <f>ROUND(G72*I72,2)</f>
        <v>10126.620000000001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3.3800000000000002E-3</v>
      </c>
      <c r="J85" s="138">
        <f>ROUND(G85*I85,2)</f>
        <v>908599.02</v>
      </c>
      <c r="K85" s="70"/>
      <c r="L85" s="70"/>
      <c r="M85" s="71"/>
      <c r="N85" s="70"/>
      <c r="O85" s="70"/>
      <c r="P85" s="70"/>
      <c r="Q85" s="70"/>
      <c r="R85" s="860" t="s">
        <v>172</v>
      </c>
      <c r="S85" s="860"/>
      <c r="T85" s="860"/>
      <c r="U85" s="253"/>
      <c r="V85" s="171">
        <f>G85</f>
        <v>268816278</v>
      </c>
      <c r="W85" s="239" t="s">
        <v>81</v>
      </c>
      <c r="X85" s="176">
        <f>X56</f>
        <v>7.1299999999999998E-4</v>
      </c>
      <c r="Y85" s="266">
        <f t="shared" ref="Y85:Y87" si="12">ROUND(V85*X85,2)</f>
        <v>191666.01</v>
      </c>
    </row>
    <row r="86" spans="1:26" ht="14.25" customHeight="1" x14ac:dyDescent="0.25">
      <c r="A86" s="896" t="s">
        <v>104</v>
      </c>
      <c r="B86" s="896"/>
      <c r="C86" s="896"/>
      <c r="D86" s="896"/>
      <c r="E86" s="896"/>
      <c r="F86" s="248" t="s">
        <v>103</v>
      </c>
      <c r="G86" s="139">
        <v>0</v>
      </c>
      <c r="H86" s="223" t="s">
        <v>81</v>
      </c>
      <c r="I86" s="41">
        <f>I57</f>
        <v>3.3800000000000002E-3</v>
      </c>
      <c r="J86" s="138">
        <f>ROUND(G86*I86,2)</f>
        <v>0</v>
      </c>
      <c r="K86" s="70"/>
      <c r="L86" s="71"/>
      <c r="M86" s="76"/>
      <c r="N86" s="76"/>
      <c r="O86" s="76"/>
      <c r="P86" s="76"/>
      <c r="Q86" s="70"/>
      <c r="R86" s="860" t="s">
        <v>173</v>
      </c>
      <c r="S86" s="860"/>
      <c r="T86" s="860"/>
      <c r="U86" s="253"/>
      <c r="V86" s="203">
        <f>G86</f>
        <v>0</v>
      </c>
      <c r="W86" s="239" t="s">
        <v>81</v>
      </c>
      <c r="X86" s="176">
        <f>X56</f>
        <v>7.1299999999999998E-4</v>
      </c>
      <c r="Y86" s="266">
        <f t="shared" si="12"/>
        <v>0</v>
      </c>
    </row>
    <row r="87" spans="1:26" ht="18" customHeight="1" x14ac:dyDescent="0.25">
      <c r="A87" s="896" t="s">
        <v>105</v>
      </c>
      <c r="B87" s="896"/>
      <c r="C87" s="896"/>
      <c r="D87" s="896"/>
      <c r="E87" s="896"/>
      <c r="F87" s="248" t="s">
        <v>84</v>
      </c>
      <c r="G87" s="139">
        <v>0</v>
      </c>
      <c r="H87" s="223" t="s">
        <v>81</v>
      </c>
      <c r="I87" s="41">
        <f>I54</f>
        <v>7.5799999999999999E-4</v>
      </c>
      <c r="J87" s="62">
        <f>ROUND(G87*I87,2)</f>
        <v>0</v>
      </c>
      <c r="K87" s="77"/>
      <c r="L87" s="70"/>
      <c r="M87" s="71"/>
      <c r="N87" s="70"/>
      <c r="O87" s="70"/>
      <c r="P87" s="70"/>
      <c r="Q87" s="70"/>
      <c r="R87" s="240" t="s">
        <v>174</v>
      </c>
      <c r="S87" s="240"/>
      <c r="T87" s="240"/>
      <c r="U87" s="253"/>
      <c r="V87" s="203">
        <f>G87</f>
        <v>0</v>
      </c>
      <c r="W87" s="239" t="s">
        <v>81</v>
      </c>
      <c r="X87" s="176">
        <f>X53</f>
        <v>7.5799999999999999E-4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95.354699999999994</v>
      </c>
      <c r="C90" s="245"/>
      <c r="D90" s="867">
        <f>I6</f>
        <v>1.0355000000000001</v>
      </c>
      <c r="E90" s="867"/>
      <c r="F90" s="867"/>
      <c r="G90" s="122">
        <f>'[1]Detail 2025-26 FEFP Second'!AB3</f>
        <v>958.42</v>
      </c>
      <c r="H90" s="47" t="s">
        <v>68</v>
      </c>
      <c r="I90" s="141">
        <f>ROUND(B90*D90*G90,2)</f>
        <v>94634.19</v>
      </c>
      <c r="J90" s="81"/>
      <c r="K90" s="70"/>
      <c r="L90" s="70"/>
      <c r="M90" s="71"/>
      <c r="N90" s="70"/>
      <c r="O90" s="70"/>
      <c r="P90" s="70"/>
      <c r="Q90" s="70"/>
      <c r="R90" s="238" t="s">
        <v>110</v>
      </c>
      <c r="S90" s="251">
        <f>X12+X13+X18+X21+X24</f>
        <v>18.170000000000002</v>
      </c>
      <c r="T90" s="922">
        <f>X6</f>
        <v>1.0355000000000001</v>
      </c>
      <c r="U90" s="922"/>
      <c r="V90" s="122">
        <f>G90</f>
        <v>958.42</v>
      </c>
      <c r="W90" s="182" t="s">
        <v>68</v>
      </c>
      <c r="X90" s="272">
        <f>ROUND(S90*T90*V90,2)</f>
        <v>18032.71</v>
      </c>
      <c r="Y90" s="205"/>
    </row>
    <row r="91" spans="1:26" ht="21" customHeight="1" x14ac:dyDescent="0.25">
      <c r="A91" s="82" t="s">
        <v>60</v>
      </c>
      <c r="B91" s="245">
        <f>I14+I15+I19+I22+I25</f>
        <v>197.14950000000002</v>
      </c>
      <c r="C91" s="245"/>
      <c r="D91" s="867">
        <f>I6</f>
        <v>1.0355000000000001</v>
      </c>
      <c r="E91" s="867"/>
      <c r="F91" s="867"/>
      <c r="G91" s="122">
        <f>'[1]Detail 2025-26 FEFP Second'!AC3</f>
        <v>915.09</v>
      </c>
      <c r="H91" s="47" t="s">
        <v>68</v>
      </c>
      <c r="I91" s="140">
        <f>ROUND(B91*D91*G91,2)</f>
        <v>186814.07</v>
      </c>
      <c r="K91" s="70"/>
      <c r="L91" s="70"/>
      <c r="M91" s="71"/>
      <c r="N91" s="70"/>
      <c r="O91" s="70"/>
      <c r="P91" s="70"/>
      <c r="Q91" s="70"/>
      <c r="R91" s="206" t="s">
        <v>60</v>
      </c>
      <c r="S91" s="251">
        <f>X14+X15+X19+X22+X25</f>
        <v>39.86</v>
      </c>
      <c r="T91" s="922">
        <f>X6</f>
        <v>1.0355000000000001</v>
      </c>
      <c r="U91" s="922"/>
      <c r="V91" s="122">
        <f>G91</f>
        <v>915.09</v>
      </c>
      <c r="W91" s="182" t="s">
        <v>68</v>
      </c>
      <c r="X91" s="272">
        <f>ROUND(S91*T91*V91,2)</f>
        <v>37770.370000000003</v>
      </c>
      <c r="Y91" s="170"/>
    </row>
    <row r="92" spans="1:26" ht="19.5" customHeight="1" thickBot="1" x14ac:dyDescent="0.3">
      <c r="A92" s="83" t="s">
        <v>61</v>
      </c>
      <c r="B92" s="109">
        <f>I16+I17+I20+I23+I26+I27</f>
        <v>481.61469999999997</v>
      </c>
      <c r="C92" s="109"/>
      <c r="D92" s="867">
        <f>I6</f>
        <v>1.0355000000000001</v>
      </c>
      <c r="E92" s="867"/>
      <c r="F92" s="867"/>
      <c r="G92" s="122">
        <f>'[1]Detail 2025-26 FEFP Second'!AD3</f>
        <v>917.3</v>
      </c>
      <c r="H92" s="47" t="s">
        <v>68</v>
      </c>
      <c r="I92" s="575">
        <f>ROUND(B92*D92*G92,2)</f>
        <v>457468.54</v>
      </c>
      <c r="K92" s="70"/>
      <c r="L92" s="70"/>
      <c r="M92" s="71"/>
      <c r="N92" s="70"/>
      <c r="O92" s="70"/>
      <c r="P92" s="70"/>
      <c r="Q92" s="70"/>
      <c r="R92" s="207" t="s">
        <v>61</v>
      </c>
      <c r="S92" s="208">
        <f>X16+X17+X20+X23+X26+X27</f>
        <v>105.25</v>
      </c>
      <c r="T92" s="922">
        <f>X6</f>
        <v>1.0355000000000001</v>
      </c>
      <c r="U92" s="922"/>
      <c r="V92" s="122">
        <f>G92</f>
        <v>917.3</v>
      </c>
      <c r="W92" s="182" t="s">
        <v>68</v>
      </c>
      <c r="X92" s="272">
        <f>ROUND(S92*T92*V92,2)</f>
        <v>99973.2</v>
      </c>
      <c r="Y92" s="170"/>
    </row>
    <row r="93" spans="1:26" ht="18.75" customHeight="1" thickBot="1" x14ac:dyDescent="0.3">
      <c r="A93" s="247" t="s">
        <v>111</v>
      </c>
      <c r="B93" s="109">
        <f>SUM(B90:B92)</f>
        <v>774.11889999999994</v>
      </c>
      <c r="C93" s="109"/>
      <c r="D93" s="109"/>
      <c r="E93" s="937" t="s">
        <v>112</v>
      </c>
      <c r="F93" s="937"/>
      <c r="G93" s="937"/>
      <c r="H93" s="937"/>
      <c r="I93" s="937"/>
      <c r="J93" s="127">
        <f>IF(A1=75,0,I92+I91+I90)</f>
        <v>738916.8</v>
      </c>
      <c r="K93" s="70"/>
      <c r="L93" s="70"/>
      <c r="M93" s="71"/>
      <c r="N93" s="70"/>
      <c r="O93" s="70"/>
      <c r="P93" s="70"/>
      <c r="Q93" s="70"/>
      <c r="R93" s="252" t="s">
        <v>111</v>
      </c>
      <c r="S93" s="210">
        <f>SUM(S90:S92)</f>
        <v>163.28</v>
      </c>
      <c r="T93" s="923" t="s">
        <v>112</v>
      </c>
      <c r="U93" s="924"/>
      <c r="V93" s="924"/>
      <c r="W93" s="924"/>
      <c r="X93" s="924"/>
      <c r="Y93" s="266">
        <f>IF(R1=75,0,X92+X91+X90)</f>
        <v>155776.28</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1</v>
      </c>
      <c r="U96" s="928"/>
      <c r="V96" s="928"/>
      <c r="W96" s="261" t="s">
        <v>117</v>
      </c>
      <c r="X96" s="212">
        <f>I97</f>
        <v>617</v>
      </c>
      <c r="Y96" s="266">
        <f>ROUND(X96*T96,2)</f>
        <v>617</v>
      </c>
    </row>
    <row r="97" spans="1:25" ht="17.25" customHeight="1" x14ac:dyDescent="0.25">
      <c r="A97" s="910" t="s">
        <v>116</v>
      </c>
      <c r="B97" s="910"/>
      <c r="C97" s="279">
        <v>0</v>
      </c>
      <c r="D97" s="279">
        <v>2</v>
      </c>
      <c r="E97" s="989">
        <f>(C97+D97)/2</f>
        <v>1</v>
      </c>
      <c r="F97" s="940"/>
      <c r="G97" s="940"/>
      <c r="H97" s="224" t="s">
        <v>117</v>
      </c>
      <c r="I97" s="130">
        <f>IF(A1&gt;67,0,INDEX('[1]Transportation Per Student'!F$1:F$65536,MATCH(A1,'[1]Transportation Per Student'!B$1:B$65536)))</f>
        <v>617</v>
      </c>
      <c r="J97" s="138">
        <f>ROUND(I97*E97,2)</f>
        <v>617</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6081103.9900000002</v>
      </c>
      <c r="L107" s="576"/>
      <c r="R107" s="860" t="s">
        <v>125</v>
      </c>
      <c r="S107" s="860"/>
      <c r="T107" s="860"/>
      <c r="U107" s="860"/>
      <c r="V107" s="860"/>
      <c r="W107" s="860"/>
      <c r="X107" s="860"/>
      <c r="Y107" s="723">
        <f>SUM(Y106,Y105,Y97,Y96,Y93,Y86,Y85,Y84,Y70,Y69,Y67,Y33,Y71,Y50,Y87,Y83)</f>
        <v>1319308.2400000002</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5773852.8200000003</v>
      </c>
      <c r="R109" s="170" t="s">
        <v>180</v>
      </c>
      <c r="S109" s="170"/>
      <c r="T109" s="170"/>
      <c r="U109" s="170"/>
      <c r="V109" s="170"/>
      <c r="W109" s="170"/>
      <c r="X109" s="170"/>
      <c r="Y109" s="724">
        <f>Y107-Y38</f>
        <v>1012057.0700000003</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4">
        <v>1</v>
      </c>
      <c r="J111" s="137">
        <f>Y109</f>
        <v>1012057.0700000003</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0">
        <f>IF(I111=1,J111,J109)</f>
        <v>1012057.0700000003</v>
      </c>
      <c r="J114" s="711">
        <f>ROUND(IF(E28=0,0,IF(E28&gt;250,-(((250/E28)*I114)*IF(H113="H",0.02,0.05)),IF(H113="H",-0.02*I114,-0.05*I114))),2)</f>
        <v>-50602.85</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6030501.1400000006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Payments'!R83</f>
        <v>-2994872.55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3035628.5900000008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505938.1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G84" workbookViewId="0">
      <selection activeCell="T98" sqref="T9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447</v>
      </c>
      <c r="B2" s="102"/>
      <c r="C2" s="102"/>
      <c r="D2" s="102"/>
      <c r="E2" s="100"/>
      <c r="F2" s="100"/>
      <c r="G2" s="100"/>
      <c r="H2" s="100"/>
      <c r="I2" s="100"/>
      <c r="J2" s="100"/>
      <c r="K2" s="6"/>
      <c r="L2" s="6"/>
      <c r="M2" s="6"/>
      <c r="N2" s="6"/>
      <c r="O2" s="6"/>
      <c r="P2" s="6"/>
      <c r="Q2" s="6"/>
      <c r="R2" s="873" t="str">
        <f>Revenue_Estimate_Worksheet_for___________Charter_School</f>
        <v>Revenue Estimate Worksheet: Career Academy of the Palm Beaches - 3345</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Second'!$C$1:$C$65536,MATCH('3345'!$A$1,'[1]Detail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37.5</v>
      </c>
      <c r="D17" s="415">
        <v>38.97</v>
      </c>
      <c r="E17" s="965">
        <f t="shared" si="0"/>
        <v>76.47</v>
      </c>
      <c r="F17" s="965"/>
      <c r="G17" s="966">
        <v>0.97199999999999998</v>
      </c>
      <c r="H17" s="966"/>
      <c r="I17" s="578">
        <f t="shared" si="2"/>
        <v>74.328800000000001</v>
      </c>
      <c r="J17" s="579">
        <f t="shared" si="1"/>
        <v>413515.44</v>
      </c>
      <c r="M17" s="2"/>
      <c r="R17" s="858" t="s">
        <v>25</v>
      </c>
      <c r="S17" s="858"/>
      <c r="T17" s="889">
        <f t="shared" si="3"/>
        <v>76.47</v>
      </c>
      <c r="U17" s="889"/>
      <c r="V17" s="894">
        <v>1</v>
      </c>
      <c r="W17" s="894"/>
      <c r="X17" s="156">
        <f t="shared" si="4"/>
        <v>76.47</v>
      </c>
      <c r="Y17" s="266">
        <f t="shared" si="6"/>
        <v>425427.64</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1</v>
      </c>
      <c r="D20" s="415">
        <v>1</v>
      </c>
      <c r="E20" s="965">
        <f t="shared" si="0"/>
        <v>2</v>
      </c>
      <c r="F20" s="965"/>
      <c r="G20" s="966">
        <v>3.609</v>
      </c>
      <c r="H20" s="966"/>
      <c r="I20" s="578">
        <f t="shared" si="2"/>
        <v>7.218</v>
      </c>
      <c r="J20" s="579">
        <f t="shared" si="1"/>
        <v>40156.1</v>
      </c>
      <c r="M20" s="2"/>
      <c r="R20" s="858" t="s">
        <v>28</v>
      </c>
      <c r="S20" s="858"/>
      <c r="T20" s="889">
        <f t="shared" si="3"/>
        <v>2</v>
      </c>
      <c r="U20" s="889"/>
      <c r="V20" s="894">
        <v>1</v>
      </c>
      <c r="W20" s="894"/>
      <c r="X20" s="156">
        <f t="shared" si="4"/>
        <v>2</v>
      </c>
      <c r="Y20" s="266">
        <f t="shared" si="6"/>
        <v>11126.65</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38.5</v>
      </c>
      <c r="D28" s="126">
        <f>SUM(D12:D27)</f>
        <v>39.97</v>
      </c>
      <c r="E28" s="964">
        <f>SUM(E12:E27)</f>
        <v>78.47</v>
      </c>
      <c r="F28" s="964"/>
      <c r="G28" s="959"/>
      <c r="H28" s="959"/>
      <c r="I28" s="23">
        <f>SUM(I12:I27)</f>
        <v>81.546800000000005</v>
      </c>
      <c r="J28" s="127">
        <f>SUM(J12:J27)</f>
        <v>453671.54</v>
      </c>
      <c r="M28" s="2"/>
      <c r="R28" s="905" t="s">
        <v>36</v>
      </c>
      <c r="S28" s="905"/>
      <c r="T28" s="906">
        <f>SUM(T12:T27)</f>
        <v>78.47</v>
      </c>
      <c r="U28" s="906"/>
      <c r="V28" s="907"/>
      <c r="W28" s="907"/>
      <c r="X28" s="158">
        <f>SUM(X12:X27)</f>
        <v>78.47</v>
      </c>
      <c r="Y28" s="266">
        <f>SUM(Y12:Y27)</f>
        <v>436554.29000000004</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81.546800000000005</v>
      </c>
      <c r="H33" s="959" t="s">
        <v>45</v>
      </c>
      <c r="I33" s="959"/>
      <c r="J33" s="32">
        <f>SUM(J32,J28)</f>
        <v>453671.54</v>
      </c>
      <c r="M33" s="2"/>
      <c r="R33" s="909" t="s">
        <v>44</v>
      </c>
      <c r="S33" s="909"/>
      <c r="T33" s="909"/>
      <c r="U33" s="909"/>
      <c r="V33" s="164" t="e">
        <f>V32+X28</f>
        <v>#REF!</v>
      </c>
      <c r="W33" s="907" t="s">
        <v>45</v>
      </c>
      <c r="X33" s="907"/>
      <c r="Y33" s="165">
        <f>SUM(Y32,Y28)</f>
        <v>436554.29000000004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445722.66</v>
      </c>
      <c r="H36" s="223" t="s">
        <v>49</v>
      </c>
      <c r="I36" s="38">
        <v>6.6699999999999995E-2</v>
      </c>
      <c r="J36" s="131">
        <f>ROUND(G36*I36,2)</f>
        <v>29729.7</v>
      </c>
      <c r="K36" s="39"/>
      <c r="L36" s="233"/>
      <c r="M36" s="233"/>
      <c r="N36" s="233"/>
      <c r="O36" s="31"/>
      <c r="P36" s="232"/>
      <c r="Q36" s="232"/>
      <c r="R36" s="858" t="s">
        <v>47</v>
      </c>
      <c r="S36" s="858"/>
      <c r="T36" s="858"/>
      <c r="U36" s="253"/>
      <c r="V36" s="172">
        <v>428376.2</v>
      </c>
      <c r="W36" s="239" t="s">
        <v>49</v>
      </c>
      <c r="X36" s="174">
        <v>6.6699999999999995E-2</v>
      </c>
      <c r="Y36" s="266">
        <f>J36</f>
        <v>29729.7</v>
      </c>
    </row>
    <row r="37" spans="1:25" ht="20.25" customHeight="1" x14ac:dyDescent="0.25">
      <c r="A37" s="859" t="s">
        <v>50</v>
      </c>
      <c r="B37" s="859"/>
      <c r="C37" s="859"/>
      <c r="D37" s="859"/>
      <c r="E37" s="859"/>
      <c r="F37" s="248" t="s">
        <v>48</v>
      </c>
      <c r="G37" s="132">
        <v>445722.66</v>
      </c>
      <c r="H37" s="223" t="s">
        <v>49</v>
      </c>
      <c r="I37" s="38">
        <v>5.4000000000000003E-3</v>
      </c>
      <c r="J37" s="131">
        <f>ROUND(G37*I37,2)</f>
        <v>2406.9</v>
      </c>
      <c r="K37" s="39"/>
      <c r="L37" s="233"/>
      <c r="M37" s="233"/>
      <c r="N37" s="233"/>
      <c r="O37" s="31"/>
      <c r="P37" s="232"/>
      <c r="Q37" s="232"/>
      <c r="R37" s="858" t="s">
        <v>50</v>
      </c>
      <c r="S37" s="858"/>
      <c r="T37" s="858"/>
      <c r="U37" s="253"/>
      <c r="V37" s="172">
        <v>428376.2</v>
      </c>
      <c r="W37" s="239" t="s">
        <v>49</v>
      </c>
      <c r="X37" s="174">
        <v>5.4000000000000003E-3</v>
      </c>
      <c r="Y37" s="266">
        <f>J37</f>
        <v>2406.9</v>
      </c>
    </row>
    <row r="38" spans="1:25" ht="20.25" customHeight="1" x14ac:dyDescent="0.25">
      <c r="A38" s="896" t="s">
        <v>51</v>
      </c>
      <c r="B38" s="896"/>
      <c r="C38" s="896"/>
      <c r="D38" s="896"/>
      <c r="E38" s="896"/>
      <c r="F38" s="248" t="s">
        <v>52</v>
      </c>
      <c r="G38" s="40"/>
      <c r="H38" s="223"/>
      <c r="I38" s="41"/>
      <c r="J38" s="131">
        <f>SUM(J36:J37)</f>
        <v>32136.600000000002</v>
      </c>
      <c r="K38" s="39"/>
      <c r="L38" s="233"/>
      <c r="M38" s="233"/>
      <c r="N38" s="233"/>
      <c r="O38" s="31"/>
      <c r="P38" s="232"/>
      <c r="Q38" s="232"/>
      <c r="R38" s="860" t="s">
        <v>51</v>
      </c>
      <c r="S38" s="860"/>
      <c r="T38" s="860"/>
      <c r="U38" s="253" t="s">
        <v>52</v>
      </c>
      <c r="V38" s="175"/>
      <c r="W38" s="239"/>
      <c r="X38" s="176"/>
      <c r="Y38" s="266">
        <f>Y36+Y37</f>
        <v>32136.600000000002</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0.5</v>
      </c>
      <c r="D47" s="415">
        <v>0.52</v>
      </c>
      <c r="E47" s="952">
        <f t="shared" si="7"/>
        <v>1.02</v>
      </c>
      <c r="F47" s="952"/>
      <c r="G47" s="47" t="s">
        <v>61</v>
      </c>
      <c r="H47" s="223">
        <v>251</v>
      </c>
      <c r="I47" s="136">
        <f>INDEX('[1]111-112-113 ADDITIONAL FUND'!J$1:J$65536,MATCH($A$1,'[1]111-112-113 ADDITIONAL FUND'!A$1:A$65536))</f>
        <v>835</v>
      </c>
      <c r="J47" s="137">
        <f t="shared" si="8"/>
        <v>851.7</v>
      </c>
      <c r="M47" s="2"/>
      <c r="R47" s="901"/>
      <c r="S47" s="901"/>
      <c r="T47" s="903"/>
      <c r="U47" s="903"/>
      <c r="V47" s="182" t="s">
        <v>61</v>
      </c>
      <c r="W47" s="239">
        <v>251</v>
      </c>
      <c r="X47" s="134">
        <f t="shared" si="9"/>
        <v>835</v>
      </c>
      <c r="Y47" s="269">
        <f t="shared" si="10"/>
        <v>0</v>
      </c>
    </row>
    <row r="48" spans="1:25" ht="15.75" customHeight="1" x14ac:dyDescent="0.25">
      <c r="A48" s="958"/>
      <c r="B48" s="958"/>
      <c r="C48" s="415">
        <v>8</v>
      </c>
      <c r="D48" s="415">
        <v>8.31</v>
      </c>
      <c r="E48" s="952">
        <f t="shared" si="7"/>
        <v>16.310000000000002</v>
      </c>
      <c r="F48" s="952"/>
      <c r="G48" s="47" t="s">
        <v>61</v>
      </c>
      <c r="H48" s="223">
        <v>252</v>
      </c>
      <c r="I48" s="136">
        <f>INDEX('[1]111-112-113 ADDITIONAL FUND'!K$1:K$65536,MATCH($A$1,'[1]111-112-113 ADDITIONAL FUND'!A$1:A$65536))</f>
        <v>3168</v>
      </c>
      <c r="J48" s="137">
        <f t="shared" si="8"/>
        <v>51670.080000000002</v>
      </c>
      <c r="M48" s="2"/>
      <c r="R48" s="901"/>
      <c r="S48" s="901"/>
      <c r="T48" s="903"/>
      <c r="U48" s="903"/>
      <c r="V48" s="182" t="s">
        <v>61</v>
      </c>
      <c r="W48" s="239">
        <v>252</v>
      </c>
      <c r="X48" s="134">
        <f t="shared" si="9"/>
        <v>3168</v>
      </c>
      <c r="Y48" s="269">
        <f t="shared" si="10"/>
        <v>0</v>
      </c>
    </row>
    <row r="49" spans="1:25" ht="15.75" customHeight="1" thickBot="1" x14ac:dyDescent="0.3">
      <c r="A49" s="958"/>
      <c r="B49" s="958"/>
      <c r="C49" s="415">
        <v>29</v>
      </c>
      <c r="D49" s="415">
        <v>30.14</v>
      </c>
      <c r="E49" s="953">
        <f t="shared" si="7"/>
        <v>59.14</v>
      </c>
      <c r="F49" s="953"/>
      <c r="G49" s="47" t="s">
        <v>61</v>
      </c>
      <c r="H49" s="223">
        <v>253</v>
      </c>
      <c r="I49" s="136">
        <f>INDEX('[1]111-112-113 ADDITIONAL FUND'!L$1:L$65536,MATCH($A$1,'[1]111-112-113 ADDITIONAL FUND'!A$1:A$65536))</f>
        <v>6685</v>
      </c>
      <c r="J49" s="137">
        <f t="shared" si="8"/>
        <v>395350.9</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37.5</v>
      </c>
      <c r="D50" s="585">
        <f>SUM(D41:D49)</f>
        <v>38.97</v>
      </c>
      <c r="E50" s="954">
        <f>SUM(E41:E49)</f>
        <v>76.47</v>
      </c>
      <c r="F50" s="954"/>
      <c r="G50" s="910" t="s">
        <v>63</v>
      </c>
      <c r="H50" s="910"/>
      <c r="I50" s="910"/>
      <c r="J50" s="276">
        <f>SUM(J41:J49)</f>
        <v>447872.68000000005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78.47</v>
      </c>
      <c r="U52" s="184" t="s">
        <v>66</v>
      </c>
      <c r="V52" s="185"/>
      <c r="W52" s="186" t="s">
        <v>67</v>
      </c>
      <c r="X52" s="917">
        <f>I53</f>
        <v>215320.92</v>
      </c>
      <c r="Y52" s="917"/>
    </row>
    <row r="53" spans="1:25" ht="16.5" customHeight="1" x14ac:dyDescent="0.25">
      <c r="A53" s="897" t="s">
        <v>65</v>
      </c>
      <c r="B53" s="897"/>
      <c r="C53" s="237"/>
      <c r="D53" s="237"/>
      <c r="E53" s="48">
        <f>E28</f>
        <v>78.47</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3.6400000000000001E-4</v>
      </c>
      <c r="Y53" s="918"/>
    </row>
    <row r="54" spans="1:25" ht="22.5" customHeight="1" x14ac:dyDescent="0.25">
      <c r="A54" s="237"/>
      <c r="B54" s="230"/>
      <c r="C54" s="230"/>
      <c r="D54" s="230"/>
      <c r="H54" s="53" t="s">
        <v>68</v>
      </c>
      <c r="I54" s="943">
        <f>IFERROR(ROUND(E53/I53,6),0)</f>
        <v>3.6400000000000001E-4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78.47</v>
      </c>
      <c r="U55" s="184" t="s">
        <v>66</v>
      </c>
      <c r="V55" s="185"/>
      <c r="W55" s="186" t="s">
        <v>71</v>
      </c>
      <c r="X55" s="917">
        <f>I56</f>
        <v>229051.25000000003</v>
      </c>
      <c r="Y55" s="917"/>
    </row>
    <row r="56" spans="1:25" ht="16.5" customHeight="1" x14ac:dyDescent="0.25">
      <c r="A56" s="897" t="s">
        <v>70</v>
      </c>
      <c r="B56" s="897"/>
      <c r="C56" s="237"/>
      <c r="D56" s="237"/>
      <c r="E56" s="48">
        <f>G33</f>
        <v>81.546800000000005</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3.4299999999999999E-4</v>
      </c>
      <c r="Y56" s="918"/>
    </row>
    <row r="57" spans="1:25" ht="18.75" customHeight="1" x14ac:dyDescent="0.25">
      <c r="A57" s="237"/>
      <c r="H57" s="53" t="s">
        <v>68</v>
      </c>
      <c r="I57" s="943">
        <f>IFERROR(ROUND(E56/I56,6),0)</f>
        <v>3.5599999999999998E-4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78.47</v>
      </c>
      <c r="U58" s="184" t="s">
        <v>66</v>
      </c>
      <c r="V58" s="916" t="s">
        <v>74</v>
      </c>
      <c r="W58" s="916"/>
      <c r="X58" s="917">
        <f>I59</f>
        <v>186156.17</v>
      </c>
      <c r="Y58" s="917"/>
    </row>
    <row r="59" spans="1:25" ht="18.75" customHeight="1" x14ac:dyDescent="0.25">
      <c r="A59" s="897" t="s">
        <v>73</v>
      </c>
      <c r="B59" s="897"/>
      <c r="C59" s="237"/>
      <c r="D59" s="237"/>
      <c r="E59" s="48">
        <f>E28</f>
        <v>78.47</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4.2200000000000001E-4</v>
      </c>
      <c r="Y59" s="918"/>
    </row>
    <row r="60" spans="1:25" ht="18" customHeight="1" x14ac:dyDescent="0.25">
      <c r="A60" s="237"/>
      <c r="H60" s="53" t="s">
        <v>68</v>
      </c>
      <c r="I60" s="943">
        <f>IFERROR(ROUND(E59/I59,6),0)</f>
        <v>4.2200000000000001E-4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78.47</v>
      </c>
      <c r="U61" s="184" t="s">
        <v>66</v>
      </c>
      <c r="V61" s="916" t="s">
        <v>76</v>
      </c>
      <c r="W61" s="916"/>
      <c r="X61" s="917">
        <f>I62</f>
        <v>215016.58000000002</v>
      </c>
      <c r="Y61" s="917"/>
    </row>
    <row r="62" spans="1:25" ht="30.75" customHeight="1" x14ac:dyDescent="0.25">
      <c r="A62" s="897" t="s">
        <v>73</v>
      </c>
      <c r="B62" s="897"/>
      <c r="C62" s="237"/>
      <c r="D62" s="237"/>
      <c r="E62" s="48">
        <f>E28</f>
        <v>78.47</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3.6499999999999998E-4</v>
      </c>
      <c r="Y62" s="918"/>
    </row>
    <row r="63" spans="1:25" ht="19.5" customHeight="1" x14ac:dyDescent="0.25">
      <c r="A63" s="237"/>
      <c r="H63" s="53" t="s">
        <v>68</v>
      </c>
      <c r="I63" s="943">
        <f>IFERROR(ROUND(E62/I62,6),0)</f>
        <v>3.6499999999999998E-4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78.47</v>
      </c>
      <c r="U64" s="184" t="s">
        <v>66</v>
      </c>
      <c r="V64" s="916" t="s">
        <v>165</v>
      </c>
      <c r="W64" s="916"/>
      <c r="X64" s="917">
        <f>I65</f>
        <v>185851.83000000002</v>
      </c>
      <c r="Y64" s="917"/>
    </row>
    <row r="65" spans="1:26" ht="49.5" customHeight="1" x14ac:dyDescent="0.25">
      <c r="A65" s="897" t="s">
        <v>73</v>
      </c>
      <c r="B65" s="897"/>
      <c r="C65" s="237"/>
      <c r="D65" s="237"/>
      <c r="E65" s="48">
        <f>E28</f>
        <v>78.47</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4.2200000000000001E-4</v>
      </c>
      <c r="Y65" s="918"/>
    </row>
    <row r="66" spans="1:26" ht="19.5" customHeight="1" x14ac:dyDescent="0.25">
      <c r="A66" s="237"/>
      <c r="H66" s="53" t="s">
        <v>68</v>
      </c>
      <c r="I66" s="943">
        <f>IFERROR(ROUND(E65/I65,6),0)</f>
        <v>4.2200000000000001E-4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3.6499999999999998E-4</v>
      </c>
      <c r="Y67" s="271">
        <f>ROUND(V67*X67,2)</f>
        <v>17261.12</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3.6499999999999998E-4</v>
      </c>
      <c r="J68" s="138">
        <f>ROUND(G68*I68,2)</f>
        <v>17261.12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3.6400000000000001E-4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3.6400000000000001E-4</v>
      </c>
      <c r="J70" s="138">
        <f>ROUND(G70*I70,2)</f>
        <v>0</v>
      </c>
      <c r="M70" s="2"/>
      <c r="R70" s="860" t="s">
        <v>167</v>
      </c>
      <c r="S70" s="860"/>
      <c r="T70" s="860"/>
      <c r="U70" s="253"/>
      <c r="V70" s="193">
        <f>G71</f>
        <v>19167881</v>
      </c>
      <c r="W70" s="239" t="s">
        <v>81</v>
      </c>
      <c r="X70" s="176">
        <f>X65</f>
        <v>4.2200000000000001E-4</v>
      </c>
      <c r="Y70" s="266">
        <f t="shared" si="11"/>
        <v>8088.85</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4.2200000000000001E-4</v>
      </c>
      <c r="J71" s="138">
        <f>ROUND(G71*I71,2)</f>
        <v>8088.85</v>
      </c>
      <c r="M71" s="2"/>
      <c r="R71" s="240" t="s">
        <v>168</v>
      </c>
      <c r="S71" s="240"/>
      <c r="T71" s="240"/>
      <c r="U71" s="253"/>
      <c r="V71" s="171">
        <f>G72</f>
        <v>11546889</v>
      </c>
      <c r="W71" s="239" t="s">
        <v>81</v>
      </c>
      <c r="X71" s="176">
        <f>X59</f>
        <v>4.2200000000000001E-4</v>
      </c>
      <c r="Y71" s="266">
        <f t="shared" si="11"/>
        <v>4872.79</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4.2200000000000001E-4</v>
      </c>
      <c r="J72" s="138">
        <f>ROUND(G72*I72,2)</f>
        <v>4872.79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3.5599999999999998E-4</v>
      </c>
      <c r="J85" s="138">
        <f>ROUND(G85*I85,2)</f>
        <v>95698.59</v>
      </c>
      <c r="K85" s="70"/>
      <c r="L85" s="70"/>
      <c r="M85" s="71"/>
      <c r="N85" s="70"/>
      <c r="O85" s="70"/>
      <c r="P85" s="70"/>
      <c r="Q85" s="70"/>
      <c r="R85" s="860" t="s">
        <v>172</v>
      </c>
      <c r="S85" s="860"/>
      <c r="T85" s="860"/>
      <c r="U85" s="253"/>
      <c r="V85" s="171">
        <f>G85</f>
        <v>268816278</v>
      </c>
      <c r="W85" s="239" t="s">
        <v>81</v>
      </c>
      <c r="X85" s="176">
        <f>X56</f>
        <v>3.4299999999999999E-4</v>
      </c>
      <c r="Y85" s="266">
        <f t="shared" ref="Y85:Y87" si="12">ROUND(V85*X85,2)</f>
        <v>92203.98</v>
      </c>
    </row>
    <row r="86" spans="1:26" ht="14.25" customHeight="1" x14ac:dyDescent="0.25">
      <c r="A86" s="896" t="s">
        <v>104</v>
      </c>
      <c r="B86" s="896"/>
      <c r="C86" s="896"/>
      <c r="D86" s="896"/>
      <c r="E86" s="896"/>
      <c r="F86" s="248" t="s">
        <v>103</v>
      </c>
      <c r="G86" s="139">
        <v>0</v>
      </c>
      <c r="H86" s="223" t="s">
        <v>81</v>
      </c>
      <c r="I86" s="41">
        <f>I57</f>
        <v>3.5599999999999998E-4</v>
      </c>
      <c r="J86" s="138">
        <f>ROUND(G86*I86,2)</f>
        <v>0</v>
      </c>
      <c r="K86" s="70"/>
      <c r="L86" s="71"/>
      <c r="M86" s="76"/>
      <c r="N86" s="76"/>
      <c r="O86" s="76"/>
      <c r="P86" s="76"/>
      <c r="Q86" s="70"/>
      <c r="R86" s="860" t="s">
        <v>173</v>
      </c>
      <c r="S86" s="860"/>
      <c r="T86" s="860"/>
      <c r="U86" s="253"/>
      <c r="V86" s="203">
        <f>G86</f>
        <v>0</v>
      </c>
      <c r="W86" s="239" t="s">
        <v>81</v>
      </c>
      <c r="X86" s="176">
        <f>X56</f>
        <v>3.4299999999999999E-4</v>
      </c>
      <c r="Y86" s="266">
        <f t="shared" si="12"/>
        <v>0</v>
      </c>
    </row>
    <row r="87" spans="1:26" ht="18" customHeight="1" x14ac:dyDescent="0.25">
      <c r="A87" s="896" t="s">
        <v>105</v>
      </c>
      <c r="B87" s="896"/>
      <c r="C87" s="896"/>
      <c r="D87" s="896"/>
      <c r="E87" s="896"/>
      <c r="F87" s="248" t="s">
        <v>84</v>
      </c>
      <c r="G87" s="139">
        <v>0</v>
      </c>
      <c r="H87" s="223" t="s">
        <v>81</v>
      </c>
      <c r="I87" s="41">
        <f>I54</f>
        <v>3.6400000000000001E-4</v>
      </c>
      <c r="J87" s="62">
        <f>ROUND(G87*I87,2)</f>
        <v>0</v>
      </c>
      <c r="K87" s="77"/>
      <c r="L87" s="70"/>
      <c r="M87" s="71"/>
      <c r="N87" s="70"/>
      <c r="O87" s="70"/>
      <c r="P87" s="70"/>
      <c r="Q87" s="70"/>
      <c r="R87" s="240" t="s">
        <v>174</v>
      </c>
      <c r="S87" s="240"/>
      <c r="T87" s="240"/>
      <c r="U87" s="253"/>
      <c r="V87" s="203">
        <f>G87</f>
        <v>0</v>
      </c>
      <c r="W87" s="239" t="s">
        <v>81</v>
      </c>
      <c r="X87" s="176">
        <f>X53</f>
        <v>3.6400000000000001E-4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81.546800000000005</v>
      </c>
      <c r="C92" s="109"/>
      <c r="D92" s="867">
        <f>I6</f>
        <v>1.0355000000000001</v>
      </c>
      <c r="E92" s="867"/>
      <c r="F92" s="867"/>
      <c r="G92" s="122">
        <f>'[1]Detail 2025-26 FEFP Second'!AD3</f>
        <v>917.3</v>
      </c>
      <c r="H92" s="47" t="s">
        <v>68</v>
      </c>
      <c r="I92" s="575">
        <f>ROUND(B92*D92*G92,2)</f>
        <v>77458.38</v>
      </c>
      <c r="K92" s="70"/>
      <c r="L92" s="70"/>
      <c r="M92" s="71"/>
      <c r="N92" s="70"/>
      <c r="O92" s="70"/>
      <c r="P92" s="70"/>
      <c r="Q92" s="70"/>
      <c r="R92" s="207" t="s">
        <v>61</v>
      </c>
      <c r="S92" s="208">
        <f>X16+X17+X20+X23+X26+X27</f>
        <v>78.47</v>
      </c>
      <c r="T92" s="922">
        <f>X6</f>
        <v>1.0355000000000001</v>
      </c>
      <c r="U92" s="922"/>
      <c r="V92" s="122">
        <f>G92</f>
        <v>917.3</v>
      </c>
      <c r="W92" s="182" t="s">
        <v>68</v>
      </c>
      <c r="X92" s="272">
        <f>ROUND(S92*T92*V92,2)</f>
        <v>74535.839999999997</v>
      </c>
      <c r="Y92" s="170"/>
    </row>
    <row r="93" spans="1:26" ht="18.75" customHeight="1" thickBot="1" x14ac:dyDescent="0.3">
      <c r="A93" s="247" t="s">
        <v>111</v>
      </c>
      <c r="B93" s="109">
        <f>SUM(B90:B92)</f>
        <v>81.546800000000005</v>
      </c>
      <c r="C93" s="109"/>
      <c r="D93" s="109"/>
      <c r="E93" s="937" t="s">
        <v>112</v>
      </c>
      <c r="F93" s="937"/>
      <c r="G93" s="937"/>
      <c r="H93" s="937"/>
      <c r="I93" s="937"/>
      <c r="J93" s="127">
        <f>IF(A1=75,0,I92+I91+I90)</f>
        <v>77458.38</v>
      </c>
      <c r="K93" s="70"/>
      <c r="L93" s="70"/>
      <c r="M93" s="71"/>
      <c r="N93" s="70"/>
      <c r="O93" s="70"/>
      <c r="P93" s="70"/>
      <c r="Q93" s="70"/>
      <c r="R93" s="252" t="s">
        <v>111</v>
      </c>
      <c r="S93" s="210">
        <f>SUM(S90:S92)</f>
        <v>78.47</v>
      </c>
      <c r="T93" s="923" t="s">
        <v>112</v>
      </c>
      <c r="U93" s="924"/>
      <c r="V93" s="924"/>
      <c r="W93" s="924"/>
      <c r="X93" s="924"/>
      <c r="Y93" s="266">
        <f>IF(R1=75,0,X92+X91+X90)</f>
        <v>74535.839999999997</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68.5</v>
      </c>
      <c r="U96" s="928"/>
      <c r="V96" s="928"/>
      <c r="W96" s="261" t="s">
        <v>117</v>
      </c>
      <c r="X96" s="212">
        <f>I97</f>
        <v>617</v>
      </c>
      <c r="Y96" s="266">
        <f>ROUND(X96*T96,2)</f>
        <v>42264.5</v>
      </c>
    </row>
    <row r="97" spans="1:25" ht="17.25" customHeight="1" x14ac:dyDescent="0.25">
      <c r="A97" s="910" t="s">
        <v>116</v>
      </c>
      <c r="B97" s="910"/>
      <c r="C97" s="279">
        <v>64</v>
      </c>
      <c r="D97" s="279">
        <v>73</v>
      </c>
      <c r="E97" s="989">
        <f>(C97+D97)/2</f>
        <v>68.5</v>
      </c>
      <c r="F97" s="940"/>
      <c r="G97" s="940"/>
      <c r="H97" s="224" t="s">
        <v>117</v>
      </c>
      <c r="I97" s="130">
        <f>IF(A1&gt;67,0,INDEX('[1]Transportation Per Student'!F$1:F$65536,MATCH(A1,'[1]Transportation Per Student'!B$1:B$65536)))</f>
        <v>617</v>
      </c>
      <c r="J97" s="138">
        <f>ROUND(I97*E97,2)</f>
        <v>42264.5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1147188.4500000002</v>
      </c>
      <c r="L107" s="576"/>
      <c r="R107" s="860" t="s">
        <v>125</v>
      </c>
      <c r="S107" s="860"/>
      <c r="T107" s="860"/>
      <c r="U107" s="860"/>
      <c r="V107" s="860"/>
      <c r="W107" s="860"/>
      <c r="X107" s="860"/>
      <c r="Y107" s="723">
        <f>SUM(Y106,Y105,Y97,Y96,Y93,Y86,Y85,Y84,Y70,Y69,Y67,Y33,Y71,Y50,Y87,Y83)</f>
        <v>675781.37000000011</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1115051.8500000001</v>
      </c>
      <c r="R109" s="170" t="s">
        <v>180</v>
      </c>
      <c r="S109" s="170"/>
      <c r="T109" s="170"/>
      <c r="U109" s="170"/>
      <c r="V109" s="170"/>
      <c r="W109" s="170"/>
      <c r="X109" s="170"/>
      <c r="Y109" s="724">
        <f>Y107-Y38</f>
        <v>643644.77000000014</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v>1</v>
      </c>
      <c r="J111" s="137">
        <f>Y109</f>
        <v>643644.77000000014</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c r="I114" s="710">
        <f>IF(I111=1,J111,J109)</f>
        <v>643644.77000000014</v>
      </c>
      <c r="J114" s="711">
        <f>ROUND(IF(E28=0,0,IF(E28&gt;250,-(((250/E28)*I114)*IF(H114="H",0.02,0.05)),IF(H114="H",-0.02*I114,-0.05*I114))),2)</f>
        <v>-32182.240000000002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1115006.2100000002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Payments'!R84</f>
        <v>-553756.14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561250.07000000018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93541.68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90" workbookViewId="0"/>
  </sheetViews>
  <sheetFormatPr defaultRowHeight="15.75" x14ac:dyDescent="0.25"/>
  <cols>
    <col min="1" max="1" width="13" style="753"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561</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Avenir 3362</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773"/>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774"/>
      <c r="D6" s="774"/>
      <c r="E6" s="982">
        <v>5372.6</v>
      </c>
      <c r="F6" s="982"/>
      <c r="G6" s="983" t="s">
        <v>5</v>
      </c>
      <c r="H6" s="983"/>
      <c r="I6" s="283">
        <f>INDEX('[1]Detail 2025-26 FEFP Second'!$C$1:$C$65536,MATCH('3362'!$A$1,'[1]Detail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774"/>
      <c r="B7" s="774"/>
      <c r="C7" s="774"/>
      <c r="D7" s="774"/>
      <c r="E7" s="227"/>
      <c r="F7" s="227"/>
      <c r="G7" s="775" t="s">
        <v>6</v>
      </c>
      <c r="H7" s="775"/>
      <c r="I7" s="283">
        <f>INDEX('[1]Detail 2025-26 FEFP Second'!$D$1:$D$65536,MATCH('3362'!$A$1,'[1]Detail 2025-26 FEFP Second'!$A$1:$A$65536,0))</f>
        <v>1</v>
      </c>
      <c r="J7" s="12"/>
      <c r="M7" s="2"/>
      <c r="R7" s="748"/>
      <c r="S7" s="748"/>
      <c r="T7" s="749"/>
      <c r="U7" s="749"/>
      <c r="V7" s="750" t="s">
        <v>6</v>
      </c>
      <c r="W7" s="750"/>
      <c r="X7" s="751">
        <v>1</v>
      </c>
      <c r="Y7" s="751"/>
    </row>
    <row r="8" spans="1:25" ht="18" customHeight="1" x14ac:dyDescent="0.25">
      <c r="A8" s="774"/>
      <c r="B8" s="774"/>
      <c r="C8" s="774"/>
      <c r="D8" s="774"/>
      <c r="E8" s="13"/>
      <c r="F8" s="13"/>
      <c r="G8" s="14"/>
      <c r="H8" s="14"/>
      <c r="I8" s="15"/>
      <c r="J8" s="16" t="s">
        <v>7</v>
      </c>
      <c r="M8" s="2"/>
      <c r="R8" s="748"/>
      <c r="S8" s="748"/>
      <c r="T8" s="148"/>
      <c r="U8" s="148"/>
      <c r="V8" s="149"/>
      <c r="W8" s="149"/>
      <c r="X8" s="150"/>
      <c r="Y8" s="151" t="s">
        <v>7</v>
      </c>
    </row>
    <row r="9" spans="1:25" ht="15.75" customHeight="1" x14ac:dyDescent="0.25">
      <c r="A9" s="774"/>
      <c r="B9" s="774"/>
      <c r="C9" s="111" t="s">
        <v>156</v>
      </c>
      <c r="D9" s="112" t="s">
        <v>157</v>
      </c>
      <c r="E9" s="13"/>
      <c r="F9" s="13"/>
      <c r="G9" s="984" t="s">
        <v>8</v>
      </c>
      <c r="H9" s="984"/>
      <c r="I9" s="15" t="s">
        <v>9</v>
      </c>
      <c r="J9" s="16" t="s">
        <v>10</v>
      </c>
      <c r="M9" s="2"/>
      <c r="R9" s="748"/>
      <c r="S9" s="748"/>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64.5</v>
      </c>
      <c r="D12" s="411">
        <v>64.5</v>
      </c>
      <c r="E12" s="979">
        <f t="shared" ref="E12:E27" si="0">IF($D$28=0,C12*2,C12+D12)</f>
        <v>129</v>
      </c>
      <c r="F12" s="979"/>
      <c r="G12" s="980">
        <v>1.1080000000000001</v>
      </c>
      <c r="H12" s="980"/>
      <c r="I12" s="578">
        <f>ROUND(E12*G12,4)</f>
        <v>142.93199999999999</v>
      </c>
      <c r="J12" s="579">
        <f t="shared" ref="J12:J27" si="1">ROUND(ROUND(ROUND(I12*$E$6,4)*($I$6),2)*(MAX($I$7,1)),2)</f>
        <v>795177.5</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18</v>
      </c>
      <c r="D14" s="415">
        <v>18</v>
      </c>
      <c r="E14" s="965">
        <f t="shared" si="0"/>
        <v>36</v>
      </c>
      <c r="F14" s="965"/>
      <c r="G14" s="966">
        <v>1</v>
      </c>
      <c r="H14" s="966"/>
      <c r="I14" s="578">
        <f t="shared" si="2"/>
        <v>36</v>
      </c>
      <c r="J14" s="579">
        <f>ROUND(ROUND(ROUND(I14*$E$6,4)*($I$6),2)*(MAX($I$7,1)),2)</f>
        <v>200279.78</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c r="D17" s="415"/>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82.5</v>
      </c>
      <c r="D28" s="126">
        <f>SUM(D12:D27)</f>
        <v>82.5</v>
      </c>
      <c r="E28" s="964">
        <f>SUM(E12:E27)</f>
        <v>165</v>
      </c>
      <c r="F28" s="964"/>
      <c r="G28" s="959"/>
      <c r="H28" s="959"/>
      <c r="I28" s="23">
        <f>SUM(I12:I27)</f>
        <v>178.93199999999999</v>
      </c>
      <c r="J28" s="127">
        <f>SUM(J12:J27)</f>
        <v>995457.28</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737"/>
      <c r="D30" s="737"/>
      <c r="E30" s="855" t="s">
        <v>39</v>
      </c>
      <c r="F30" s="856"/>
      <c r="G30" s="856"/>
      <c r="H30" s="856"/>
      <c r="I30" s="856"/>
      <c r="J30" s="18" t="s">
        <v>40</v>
      </c>
      <c r="L30" s="25"/>
      <c r="M30" s="25"/>
      <c r="R30" s="736" t="s">
        <v>38</v>
      </c>
      <c r="S30" s="736"/>
      <c r="T30" s="852" t="s">
        <v>162</v>
      </c>
      <c r="U30" s="853"/>
      <c r="V30" s="853"/>
      <c r="W30" s="853"/>
      <c r="X30" s="853"/>
      <c r="Y30" s="153" t="s">
        <v>40</v>
      </c>
    </row>
    <row r="31" spans="1:25" ht="20.25" hidden="1" customHeight="1" x14ac:dyDescent="0.25">
      <c r="A31" s="837" t="s">
        <v>41</v>
      </c>
      <c r="B31" s="837"/>
      <c r="C31" s="735"/>
      <c r="D31" s="735"/>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178.93199999999999</v>
      </c>
      <c r="H33" s="959" t="s">
        <v>45</v>
      </c>
      <c r="I33" s="959"/>
      <c r="J33" s="32">
        <f>SUM(J32,J28)</f>
        <v>995457.28</v>
      </c>
      <c r="M33" s="2"/>
      <c r="R33" s="909" t="s">
        <v>44</v>
      </c>
      <c r="S33" s="909"/>
      <c r="T33" s="909"/>
      <c r="U33" s="909"/>
      <c r="V33" s="164" t="e">
        <f>V32+X28</f>
        <v>#REF!</v>
      </c>
      <c r="W33" s="907" t="s">
        <v>45</v>
      </c>
      <c r="X33" s="907"/>
      <c r="Y33" s="165">
        <f>SUM(Y32,Y28)</f>
        <v>0</v>
      </c>
    </row>
    <row r="34" spans="1:25" ht="20.25" customHeight="1" x14ac:dyDescent="0.25">
      <c r="A34" s="757"/>
      <c r="B34" s="757"/>
      <c r="C34" s="757"/>
      <c r="D34" s="757"/>
      <c r="E34" s="757"/>
      <c r="F34" s="757"/>
      <c r="G34" s="31"/>
      <c r="H34" s="772"/>
      <c r="I34" s="772"/>
      <c r="J34" s="35"/>
      <c r="M34" s="2"/>
      <c r="R34" s="756"/>
      <c r="S34" s="756"/>
      <c r="T34" s="756"/>
      <c r="U34" s="756"/>
      <c r="V34" s="164"/>
      <c r="W34" s="755"/>
      <c r="X34" s="755"/>
      <c r="Y34" s="168"/>
    </row>
    <row r="35" spans="1:25" ht="66.75" customHeight="1" x14ac:dyDescent="0.25">
      <c r="A35" s="945" t="s">
        <v>46</v>
      </c>
      <c r="B35" s="945"/>
      <c r="C35" s="945"/>
      <c r="D35" s="945"/>
      <c r="E35" s="945"/>
      <c r="F35" s="945"/>
      <c r="G35" s="767"/>
      <c r="J35" s="267"/>
      <c r="M35" s="2"/>
      <c r="R35" s="898" t="s">
        <v>46</v>
      </c>
      <c r="S35" s="860"/>
      <c r="T35" s="860"/>
      <c r="U35" s="860"/>
      <c r="V35" s="762"/>
      <c r="W35" s="170"/>
      <c r="X35" s="170"/>
      <c r="Y35" s="268"/>
    </row>
    <row r="36" spans="1:25" ht="20.25" customHeight="1" x14ac:dyDescent="0.25">
      <c r="A36" s="859" t="s">
        <v>47</v>
      </c>
      <c r="B36" s="859"/>
      <c r="C36" s="859"/>
      <c r="D36" s="859"/>
      <c r="E36" s="859"/>
      <c r="F36" s="767" t="s">
        <v>48</v>
      </c>
      <c r="G36" s="132">
        <v>191517.55</v>
      </c>
      <c r="H36" s="744" t="s">
        <v>49</v>
      </c>
      <c r="I36" s="38">
        <v>6.6699999999999995E-2</v>
      </c>
      <c r="J36" s="131">
        <f>ROUND(G36*I36,2)</f>
        <v>12774.22</v>
      </c>
      <c r="K36" s="39"/>
      <c r="L36" s="757"/>
      <c r="M36" s="757"/>
      <c r="N36" s="757"/>
      <c r="O36" s="31"/>
      <c r="P36" s="772"/>
      <c r="Q36" s="772"/>
      <c r="R36" s="858" t="s">
        <v>47</v>
      </c>
      <c r="S36" s="858"/>
      <c r="T36" s="858"/>
      <c r="U36" s="762"/>
      <c r="V36" s="172">
        <v>61196.59</v>
      </c>
      <c r="W36" s="746" t="s">
        <v>49</v>
      </c>
      <c r="X36" s="174">
        <v>6.6699999999999995E-2</v>
      </c>
      <c r="Y36" s="266">
        <f>ROUND(V36*X36,2)</f>
        <v>4081.81</v>
      </c>
    </row>
    <row r="37" spans="1:25" ht="20.25" customHeight="1" x14ac:dyDescent="0.25">
      <c r="A37" s="859" t="s">
        <v>50</v>
      </c>
      <c r="B37" s="859"/>
      <c r="C37" s="859"/>
      <c r="D37" s="859"/>
      <c r="E37" s="859"/>
      <c r="F37" s="767" t="s">
        <v>48</v>
      </c>
      <c r="G37" s="132">
        <v>191517.55</v>
      </c>
      <c r="H37" s="744" t="s">
        <v>49</v>
      </c>
      <c r="I37" s="38">
        <v>5.4000000000000003E-3</v>
      </c>
      <c r="J37" s="131">
        <f>ROUND(G37*I37,2)</f>
        <v>1034.19</v>
      </c>
      <c r="K37" s="39"/>
      <c r="L37" s="757"/>
      <c r="M37" s="757"/>
      <c r="N37" s="757"/>
      <c r="O37" s="31"/>
      <c r="P37" s="772"/>
      <c r="Q37" s="772"/>
      <c r="R37" s="858" t="s">
        <v>50</v>
      </c>
      <c r="S37" s="858"/>
      <c r="T37" s="858"/>
      <c r="U37" s="762"/>
      <c r="V37" s="172">
        <v>61196.59</v>
      </c>
      <c r="W37" s="746" t="s">
        <v>49</v>
      </c>
      <c r="X37" s="174">
        <v>5.4000000000000003E-3</v>
      </c>
      <c r="Y37" s="266">
        <f>ROUND(V37*X37,2)</f>
        <v>330.46</v>
      </c>
    </row>
    <row r="38" spans="1:25" ht="20.25" customHeight="1" x14ac:dyDescent="0.25">
      <c r="A38" s="896" t="s">
        <v>51</v>
      </c>
      <c r="B38" s="896"/>
      <c r="C38" s="896"/>
      <c r="D38" s="896"/>
      <c r="E38" s="896"/>
      <c r="F38" s="767" t="s">
        <v>52</v>
      </c>
      <c r="G38" s="40"/>
      <c r="H38" s="744"/>
      <c r="I38" s="41"/>
      <c r="J38" s="131">
        <f>SUM(J36:J37)</f>
        <v>13808.41</v>
      </c>
      <c r="K38" s="39"/>
      <c r="L38" s="757"/>
      <c r="M38" s="757"/>
      <c r="N38" s="757"/>
      <c r="O38" s="31"/>
      <c r="P38" s="772"/>
      <c r="Q38" s="772"/>
      <c r="R38" s="860" t="s">
        <v>51</v>
      </c>
      <c r="S38" s="860"/>
      <c r="T38" s="860"/>
      <c r="U38" s="762" t="s">
        <v>52</v>
      </c>
      <c r="V38" s="175"/>
      <c r="W38" s="746"/>
      <c r="X38" s="176"/>
      <c r="Y38" s="157">
        <f>Y36+Y37</f>
        <v>4412.2699999999995</v>
      </c>
    </row>
    <row r="39" spans="1:25" ht="20.25" customHeight="1" x14ac:dyDescent="0.25">
      <c r="B39" s="753"/>
      <c r="C39" s="753"/>
      <c r="D39" s="753"/>
      <c r="E39" s="753"/>
      <c r="F39" s="767"/>
      <c r="G39" s="40"/>
      <c r="H39" s="744"/>
      <c r="I39" s="41"/>
      <c r="J39" s="43"/>
      <c r="K39" s="39"/>
      <c r="L39" s="757"/>
      <c r="M39" s="757"/>
      <c r="N39" s="757"/>
      <c r="O39" s="31"/>
      <c r="P39" s="772"/>
      <c r="Q39" s="772"/>
      <c r="R39" s="741"/>
      <c r="S39" s="741"/>
      <c r="T39" s="741"/>
      <c r="U39" s="762"/>
      <c r="V39" s="175"/>
      <c r="W39" s="746"/>
      <c r="X39" s="176"/>
      <c r="Y39" s="178"/>
    </row>
    <row r="40" spans="1:25" ht="45.75" customHeight="1" x14ac:dyDescent="0.25">
      <c r="A40" s="955" t="s">
        <v>53</v>
      </c>
      <c r="B40" s="955"/>
      <c r="C40" s="117" t="s">
        <v>159</v>
      </c>
      <c r="D40" s="117" t="s">
        <v>160</v>
      </c>
      <c r="E40" s="956" t="s">
        <v>158</v>
      </c>
      <c r="F40" s="956"/>
      <c r="G40" s="44" t="s">
        <v>55</v>
      </c>
      <c r="H40" s="771" t="s">
        <v>56</v>
      </c>
      <c r="I40" s="700" t="s">
        <v>57</v>
      </c>
      <c r="J40" s="44"/>
      <c r="K40" s="39"/>
      <c r="L40" s="757"/>
      <c r="M40" s="757"/>
      <c r="N40" s="757"/>
      <c r="O40" s="31"/>
      <c r="P40" s="772"/>
      <c r="Q40" s="772"/>
      <c r="R40" s="899" t="s">
        <v>53</v>
      </c>
      <c r="S40" s="899"/>
      <c r="T40" s="900" t="s">
        <v>54</v>
      </c>
      <c r="U40" s="900"/>
      <c r="V40" s="179" t="s">
        <v>55</v>
      </c>
      <c r="W40" s="765" t="s">
        <v>56</v>
      </c>
      <c r="X40" s="181" t="s">
        <v>57</v>
      </c>
      <c r="Y40" s="179"/>
    </row>
    <row r="41" spans="1:25" ht="17.25" customHeight="1" x14ac:dyDescent="0.25">
      <c r="A41" s="957" t="s">
        <v>58</v>
      </c>
      <c r="B41" s="957"/>
      <c r="C41" s="415">
        <v>0</v>
      </c>
      <c r="D41" s="415">
        <v>0</v>
      </c>
      <c r="E41" s="952">
        <f t="shared" ref="E41:E49" si="7">IF($D$50=0,C41*2,C41+D41)</f>
        <v>0</v>
      </c>
      <c r="F41" s="952"/>
      <c r="G41" s="744" t="s">
        <v>59</v>
      </c>
      <c r="H41" s="744">
        <v>251</v>
      </c>
      <c r="I41" s="136">
        <f>INDEX('[1]111-112-113 ADDITIONAL FUND'!D$1:D$65536,MATCH($A$1,'[1]111-112-113 ADDITIONAL FUND'!A$1:A$65536))</f>
        <v>1047</v>
      </c>
      <c r="J41" s="46">
        <f t="shared" ref="J41:J49" si="8">ROUND(E41*I41,2)</f>
        <v>0</v>
      </c>
      <c r="L41" s="3"/>
      <c r="M41" s="2"/>
      <c r="Q41" s="4"/>
      <c r="R41" s="901" t="s">
        <v>163</v>
      </c>
      <c r="S41" s="901"/>
      <c r="T41" s="865"/>
      <c r="U41" s="865"/>
      <c r="V41" s="746" t="s">
        <v>59</v>
      </c>
      <c r="W41" s="746">
        <v>251</v>
      </c>
      <c r="X41" s="134">
        <f t="shared" ref="X41:X49" si="9">I41</f>
        <v>1047</v>
      </c>
      <c r="Y41" s="269">
        <f>ROUND(T41*X41,2)</f>
        <v>0</v>
      </c>
    </row>
    <row r="42" spans="1:25" x14ac:dyDescent="0.25">
      <c r="A42" s="958"/>
      <c r="B42" s="958"/>
      <c r="C42" s="415">
        <v>0</v>
      </c>
      <c r="D42" s="415">
        <v>0</v>
      </c>
      <c r="E42" s="952">
        <f t="shared" si="7"/>
        <v>0</v>
      </c>
      <c r="F42" s="952"/>
      <c r="G42" s="744" t="s">
        <v>59</v>
      </c>
      <c r="H42" s="744">
        <v>252</v>
      </c>
      <c r="I42" s="136">
        <f>INDEX('[1]111-112-113 ADDITIONAL FUND'!E$1:E$65536,MATCH($A$1,'[1]111-112-113 ADDITIONAL FUND'!A$1:A$65536))</f>
        <v>3380</v>
      </c>
      <c r="J42" s="46">
        <f t="shared" si="8"/>
        <v>0</v>
      </c>
      <c r="M42" s="2"/>
      <c r="R42" s="901"/>
      <c r="S42" s="901"/>
      <c r="T42" s="902"/>
      <c r="U42" s="902"/>
      <c r="V42" s="746" t="s">
        <v>59</v>
      </c>
      <c r="W42" s="746">
        <v>252</v>
      </c>
      <c r="X42" s="134">
        <f t="shared" si="9"/>
        <v>3380</v>
      </c>
      <c r="Y42" s="269">
        <f t="shared" ref="Y42:Y49" si="10">ROUND(T42*X42,2)</f>
        <v>0</v>
      </c>
    </row>
    <row r="43" spans="1:25" x14ac:dyDescent="0.25">
      <c r="A43" s="958"/>
      <c r="B43" s="958"/>
      <c r="C43" s="415">
        <v>0</v>
      </c>
      <c r="D43" s="415">
        <v>0</v>
      </c>
      <c r="E43" s="952">
        <f t="shared" si="7"/>
        <v>0</v>
      </c>
      <c r="F43" s="952"/>
      <c r="G43" s="744" t="s">
        <v>59</v>
      </c>
      <c r="H43" s="744">
        <v>253</v>
      </c>
      <c r="I43" s="136">
        <f>INDEX('[1]111-112-113 ADDITIONAL FUND'!F$1:F$65536,MATCH($A$1,'[1]111-112-113 ADDITIONAL FUND'!A$1:A$65536))</f>
        <v>6896</v>
      </c>
      <c r="J43" s="46">
        <f t="shared" si="8"/>
        <v>0</v>
      </c>
      <c r="M43" s="2"/>
      <c r="R43" s="901"/>
      <c r="S43" s="901"/>
      <c r="T43" s="903"/>
      <c r="U43" s="903"/>
      <c r="V43" s="746" t="s">
        <v>59</v>
      </c>
      <c r="W43" s="746">
        <v>253</v>
      </c>
      <c r="X43" s="134">
        <f t="shared" si="9"/>
        <v>6896</v>
      </c>
      <c r="Y43" s="269">
        <f t="shared" si="10"/>
        <v>0</v>
      </c>
    </row>
    <row r="44" spans="1:25" ht="20.25" customHeight="1" x14ac:dyDescent="0.25">
      <c r="A44" s="958"/>
      <c r="B44" s="958"/>
      <c r="C44" s="415">
        <v>0</v>
      </c>
      <c r="D44" s="415">
        <v>0</v>
      </c>
      <c r="E44" s="952">
        <f t="shared" si="7"/>
        <v>0</v>
      </c>
      <c r="F44" s="952"/>
      <c r="G44" s="47" t="s">
        <v>60</v>
      </c>
      <c r="H44" s="744">
        <v>251</v>
      </c>
      <c r="I44" s="136">
        <f>INDEX('[1]111-112-113 ADDITIONAL FUND'!G$1:G$65536,MATCH($A$1,'[1]111-112-113 ADDITIONAL FUND'!A$1:A$65536))</f>
        <v>1173</v>
      </c>
      <c r="J44" s="137">
        <f t="shared" si="8"/>
        <v>0</v>
      </c>
      <c r="L44" s="3"/>
      <c r="M44" s="2"/>
      <c r="Q44" s="4"/>
      <c r="R44" s="901"/>
      <c r="S44" s="901"/>
      <c r="T44" s="903"/>
      <c r="U44" s="903"/>
      <c r="V44" s="182" t="s">
        <v>60</v>
      </c>
      <c r="W44" s="746">
        <v>251</v>
      </c>
      <c r="X44" s="134">
        <f t="shared" si="9"/>
        <v>1173</v>
      </c>
      <c r="Y44" s="269">
        <f t="shared" si="10"/>
        <v>0</v>
      </c>
    </row>
    <row r="45" spans="1:25" x14ac:dyDescent="0.25">
      <c r="A45" s="958"/>
      <c r="B45" s="958"/>
      <c r="C45" s="415">
        <v>0</v>
      </c>
      <c r="D45" s="415">
        <v>0</v>
      </c>
      <c r="E45" s="952">
        <f t="shared" si="7"/>
        <v>0</v>
      </c>
      <c r="F45" s="952"/>
      <c r="G45" s="47" t="s">
        <v>60</v>
      </c>
      <c r="H45" s="744">
        <v>252</v>
      </c>
      <c r="I45" s="136">
        <f>INDEX('[1]111-112-113 ADDITIONAL FUND'!H$1:H$65536,MATCH($A$1,'[1]111-112-113 ADDITIONAL FUND'!A$1:A$65536))</f>
        <v>3506</v>
      </c>
      <c r="J45" s="46">
        <f t="shared" si="8"/>
        <v>0</v>
      </c>
      <c r="M45" s="2"/>
      <c r="R45" s="901"/>
      <c r="S45" s="901"/>
      <c r="T45" s="903"/>
      <c r="U45" s="903"/>
      <c r="V45" s="182" t="s">
        <v>60</v>
      </c>
      <c r="W45" s="746">
        <v>252</v>
      </c>
      <c r="X45" s="134">
        <f t="shared" si="9"/>
        <v>3506</v>
      </c>
      <c r="Y45" s="269">
        <f t="shared" si="10"/>
        <v>0</v>
      </c>
    </row>
    <row r="46" spans="1:25" x14ac:dyDescent="0.25">
      <c r="A46" s="958"/>
      <c r="B46" s="958"/>
      <c r="C46" s="415">
        <v>0</v>
      </c>
      <c r="D46" s="415">
        <v>0</v>
      </c>
      <c r="E46" s="952">
        <f t="shared" si="7"/>
        <v>0</v>
      </c>
      <c r="F46" s="952"/>
      <c r="G46" s="47" t="s">
        <v>60</v>
      </c>
      <c r="H46" s="744">
        <v>253</v>
      </c>
      <c r="I46" s="136">
        <f>INDEX('[1]111-112-113 ADDITIONAL FUND'!I$1:I$65536,MATCH($A$1,'[1]111-112-113 ADDITIONAL FUND'!A$1:A$65536))</f>
        <v>7023</v>
      </c>
      <c r="J46" s="46">
        <f t="shared" si="8"/>
        <v>0</v>
      </c>
      <c r="M46" s="2"/>
      <c r="R46" s="901"/>
      <c r="S46" s="901"/>
      <c r="T46" s="903"/>
      <c r="U46" s="903"/>
      <c r="V46" s="182" t="s">
        <v>60</v>
      </c>
      <c r="W46" s="746">
        <v>253</v>
      </c>
      <c r="X46" s="134">
        <f t="shared" si="9"/>
        <v>7023</v>
      </c>
      <c r="Y46" s="269">
        <f t="shared" si="10"/>
        <v>0</v>
      </c>
    </row>
    <row r="47" spans="1:25" ht="16.5" customHeight="1" x14ac:dyDescent="0.25">
      <c r="A47" s="958"/>
      <c r="B47" s="958"/>
      <c r="C47" s="415">
        <v>0</v>
      </c>
      <c r="D47" s="415">
        <v>0</v>
      </c>
      <c r="E47" s="952">
        <f t="shared" si="7"/>
        <v>0</v>
      </c>
      <c r="F47" s="952"/>
      <c r="G47" s="47" t="s">
        <v>61</v>
      </c>
      <c r="H47" s="744">
        <v>251</v>
      </c>
      <c r="I47" s="136">
        <f>INDEX('[1]111-112-113 ADDITIONAL FUND'!J$1:J$65536,MATCH($A$1,'[1]111-112-113 ADDITIONAL FUND'!A$1:A$65536))</f>
        <v>835</v>
      </c>
      <c r="J47" s="46">
        <f t="shared" si="8"/>
        <v>0</v>
      </c>
      <c r="M47" s="2"/>
      <c r="R47" s="901"/>
      <c r="S47" s="901"/>
      <c r="T47" s="903"/>
      <c r="U47" s="903"/>
      <c r="V47" s="182" t="s">
        <v>61</v>
      </c>
      <c r="W47" s="746">
        <v>251</v>
      </c>
      <c r="X47" s="134">
        <f t="shared" si="9"/>
        <v>835</v>
      </c>
      <c r="Y47" s="269">
        <f t="shared" si="10"/>
        <v>0</v>
      </c>
    </row>
    <row r="48" spans="1:25" ht="15.75" customHeight="1" x14ac:dyDescent="0.25">
      <c r="A48" s="958"/>
      <c r="B48" s="958"/>
      <c r="C48" s="415">
        <v>0</v>
      </c>
      <c r="D48" s="415">
        <v>0</v>
      </c>
      <c r="E48" s="952">
        <f t="shared" si="7"/>
        <v>0</v>
      </c>
      <c r="F48" s="952"/>
      <c r="G48" s="47" t="s">
        <v>61</v>
      </c>
      <c r="H48" s="744">
        <v>252</v>
      </c>
      <c r="I48" s="136">
        <f>INDEX('[1]111-112-113 ADDITIONAL FUND'!K$1:K$65536,MATCH($A$1,'[1]111-112-113 ADDITIONAL FUND'!A$1:A$65536))</f>
        <v>3168</v>
      </c>
      <c r="J48" s="46">
        <f t="shared" si="8"/>
        <v>0</v>
      </c>
      <c r="M48" s="2"/>
      <c r="R48" s="901"/>
      <c r="S48" s="901"/>
      <c r="T48" s="903"/>
      <c r="U48" s="903"/>
      <c r="V48" s="182" t="s">
        <v>61</v>
      </c>
      <c r="W48" s="746">
        <v>252</v>
      </c>
      <c r="X48" s="134">
        <f t="shared" si="9"/>
        <v>3168</v>
      </c>
      <c r="Y48" s="269">
        <f t="shared" si="10"/>
        <v>0</v>
      </c>
    </row>
    <row r="49" spans="1:25" ht="15.75" customHeight="1" thickBot="1" x14ac:dyDescent="0.3">
      <c r="A49" s="958"/>
      <c r="B49" s="958"/>
      <c r="C49" s="415">
        <v>0</v>
      </c>
      <c r="D49" s="415">
        <v>0</v>
      </c>
      <c r="E49" s="953">
        <f t="shared" si="7"/>
        <v>0</v>
      </c>
      <c r="F49" s="953"/>
      <c r="G49" s="47" t="s">
        <v>61</v>
      </c>
      <c r="H49" s="744">
        <v>253</v>
      </c>
      <c r="I49" s="136">
        <f>INDEX('[1]111-112-113 ADDITIONAL FUND'!L$1:L$65536,MATCH($A$1,'[1]111-112-113 ADDITIONAL FUND'!A$1:A$65536))</f>
        <v>6685</v>
      </c>
      <c r="J49" s="46">
        <f t="shared" si="8"/>
        <v>0</v>
      </c>
      <c r="M49" s="2"/>
      <c r="R49" s="901"/>
      <c r="S49" s="901"/>
      <c r="T49" s="911"/>
      <c r="U49" s="911"/>
      <c r="V49" s="182" t="s">
        <v>61</v>
      </c>
      <c r="W49" s="746">
        <v>253</v>
      </c>
      <c r="X49" s="134">
        <f t="shared" si="9"/>
        <v>6685</v>
      </c>
      <c r="Y49" s="269">
        <f t="shared" si="10"/>
        <v>0</v>
      </c>
    </row>
    <row r="50" spans="1:25" ht="15.75" customHeight="1" thickBot="1" x14ac:dyDescent="0.3">
      <c r="A50" s="910" t="s">
        <v>62</v>
      </c>
      <c r="B50" s="910"/>
      <c r="C50" s="757">
        <f>SUM(C41:C49)</f>
        <v>0</v>
      </c>
      <c r="D50" s="757">
        <f>SUM(D41:D49)</f>
        <v>0</v>
      </c>
      <c r="E50" s="954">
        <f>SUM(E41:E49)</f>
        <v>0</v>
      </c>
      <c r="F50" s="954"/>
      <c r="G50" s="910" t="s">
        <v>63</v>
      </c>
      <c r="H50" s="910"/>
      <c r="I50" s="910"/>
      <c r="J50" s="276">
        <f>SUM(J41:J49)</f>
        <v>0</v>
      </c>
      <c r="M50" s="2"/>
      <c r="R50" s="909" t="s">
        <v>62</v>
      </c>
      <c r="S50" s="909"/>
      <c r="T50" s="912">
        <f>SUM(T42:T49)</f>
        <v>0</v>
      </c>
      <c r="U50" s="912"/>
      <c r="V50" s="909" t="s">
        <v>63</v>
      </c>
      <c r="W50" s="909"/>
      <c r="X50" s="909"/>
      <c r="Y50" s="270">
        <f>SUM(Y41:Y49)</f>
        <v>0</v>
      </c>
    </row>
    <row r="51" spans="1:25" ht="15.75" customHeight="1" x14ac:dyDescent="0.25">
      <c r="A51" s="757"/>
      <c r="B51" s="757"/>
      <c r="C51" s="757"/>
      <c r="D51" s="757"/>
      <c r="E51" s="772"/>
      <c r="F51" s="772"/>
      <c r="G51" s="757"/>
      <c r="H51" s="757"/>
      <c r="I51" s="757"/>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48">
        <f>E28</f>
        <v>165</v>
      </c>
      <c r="D53" s="49" t="s">
        <v>66</v>
      </c>
      <c r="G53" s="3"/>
      <c r="H53" s="50" t="s">
        <v>67</v>
      </c>
      <c r="I53" s="702">
        <f>INDEX('[1]Detail 2025-26 FEFP Second'!E$1:E$65536,MATCH(A1,'[1]Detail 2025-26 FEFP Second'!A$1:A$65536))</f>
        <v>215320.92</v>
      </c>
      <c r="J53" s="704"/>
      <c r="M53" s="2"/>
      <c r="R53" s="759"/>
      <c r="S53" s="739"/>
      <c r="T53" s="170"/>
      <c r="U53" s="170"/>
      <c r="V53" s="170"/>
      <c r="W53" s="189" t="s">
        <v>68</v>
      </c>
      <c r="X53" s="918">
        <f>ROUND(T52/X52,6)</f>
        <v>0</v>
      </c>
      <c r="Y53" s="918"/>
    </row>
    <row r="54" spans="1:25" ht="22.5" customHeight="1" x14ac:dyDescent="0.25">
      <c r="A54" s="754"/>
      <c r="B54" s="740"/>
      <c r="C54" s="740"/>
      <c r="D54" s="740"/>
      <c r="H54" s="53" t="s">
        <v>68</v>
      </c>
      <c r="I54" s="943">
        <f>IFERROR(ROUND(C53/I53,6),0)</f>
        <v>7.6599999999999997E-4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C56</f>
        <v>178.93199999999999</v>
      </c>
      <c r="U55" s="184" t="s">
        <v>66</v>
      </c>
      <c r="V55" s="185"/>
      <c r="W55" s="186" t="s">
        <v>71</v>
      </c>
      <c r="X55" s="917">
        <f>I56</f>
        <v>229051.25000000003</v>
      </c>
      <c r="Y55" s="917"/>
    </row>
    <row r="56" spans="1:25" ht="16.5" customHeight="1" x14ac:dyDescent="0.25">
      <c r="A56" s="897" t="s">
        <v>70</v>
      </c>
      <c r="B56" s="897"/>
      <c r="C56" s="48">
        <f>G33</f>
        <v>178.93199999999999</v>
      </c>
      <c r="D56" s="49" t="s">
        <v>66</v>
      </c>
      <c r="G56" s="3"/>
      <c r="H56" s="50" t="s">
        <v>71</v>
      </c>
      <c r="I56" s="702">
        <f>INDEX('[1]Detail 2025-26 FEFP Second'!F$1:F$65536,MATCH(A1,'[1]Detail 2025-26 FEFP Second'!A$1:A$65536))</f>
        <v>229051.25000000003</v>
      </c>
      <c r="J56" s="704"/>
      <c r="M56" s="2"/>
      <c r="R56" s="759"/>
      <c r="S56" s="170"/>
      <c r="T56" s="170"/>
      <c r="U56" s="170"/>
      <c r="V56" s="170"/>
      <c r="W56" s="189" t="s">
        <v>68</v>
      </c>
      <c r="X56" s="918">
        <f>ROUND(T55/X55,6)</f>
        <v>7.8100000000000001E-4</v>
      </c>
      <c r="Y56" s="918"/>
    </row>
    <row r="57" spans="1:25" ht="18.75" customHeight="1" x14ac:dyDescent="0.25">
      <c r="A57" s="754"/>
      <c r="H57" s="53" t="s">
        <v>68</v>
      </c>
      <c r="I57" s="943">
        <f>IFERROR(ROUND(C56/I56,6),0)</f>
        <v>7.8100000000000001E-4</v>
      </c>
      <c r="J57" s="943"/>
      <c r="M57" s="2"/>
      <c r="P57" s="753"/>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48">
        <f>E28</f>
        <v>165</v>
      </c>
      <c r="D59" s="49" t="s">
        <v>66</v>
      </c>
      <c r="F59" s="967" t="s">
        <v>74</v>
      </c>
      <c r="G59" s="967"/>
      <c r="H59" s="967"/>
      <c r="I59" s="702">
        <f>INDEX('[1]Detail 2025-26 FEFP Second'!H$1:H$65536,MATCH(A1,'[1]Detail 2025-26 FEFP Second'!A$1:A$65536))</f>
        <v>186156.17</v>
      </c>
      <c r="J59" s="704"/>
      <c r="M59" s="2"/>
      <c r="R59" s="759"/>
      <c r="S59" s="170"/>
      <c r="T59" s="170"/>
      <c r="U59" s="170"/>
      <c r="V59" s="170"/>
      <c r="W59" s="189" t="s">
        <v>68</v>
      </c>
      <c r="X59" s="918">
        <f>ROUND(T58/X58,6)</f>
        <v>0</v>
      </c>
      <c r="Y59" s="918"/>
    </row>
    <row r="60" spans="1:25" ht="18" customHeight="1" x14ac:dyDescent="0.25">
      <c r="A60" s="754"/>
      <c r="H60" s="53" t="s">
        <v>68</v>
      </c>
      <c r="I60" s="943">
        <f>IFERROR(ROUND(C59/I59,6),0)</f>
        <v>8.8599999999999996E-4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23.25" customHeight="1" x14ac:dyDescent="0.25">
      <c r="A62" s="897" t="s">
        <v>73</v>
      </c>
      <c r="B62" s="897"/>
      <c r="C62" s="48">
        <f>E28</f>
        <v>165</v>
      </c>
      <c r="D62" s="49" t="s">
        <v>66</v>
      </c>
      <c r="F62" s="967" t="s">
        <v>76</v>
      </c>
      <c r="G62" s="967"/>
      <c r="H62" s="967"/>
      <c r="I62" s="702">
        <f>INDEX('[1]Detail 2025-26 FEFP Second'!G$1:G$65536,MATCH(A1,'[1]Detail 2025-26 FEFP Second'!A$1:A$65536))</f>
        <v>215016.58000000002</v>
      </c>
      <c r="J62" s="704"/>
      <c r="M62" s="2"/>
      <c r="R62" s="759"/>
      <c r="S62" s="170"/>
      <c r="T62" s="170"/>
      <c r="U62" s="170"/>
      <c r="V62" s="170"/>
      <c r="W62" s="189" t="s">
        <v>68</v>
      </c>
      <c r="X62" s="918">
        <f>ROUND(T61/X61,6)</f>
        <v>0</v>
      </c>
      <c r="Y62" s="918"/>
    </row>
    <row r="63" spans="1:25" ht="19.5" customHeight="1" x14ac:dyDescent="0.25">
      <c r="A63" s="754"/>
      <c r="H63" s="53" t="s">
        <v>68</v>
      </c>
      <c r="I63" s="943">
        <f>IFERROR(ROUND(C62/I62,6),0)</f>
        <v>7.67E-4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22.5" customHeight="1" x14ac:dyDescent="0.25">
      <c r="A65" s="897" t="s">
        <v>73</v>
      </c>
      <c r="B65" s="897"/>
      <c r="C65" s="48">
        <f>E28</f>
        <v>165</v>
      </c>
      <c r="D65" s="988" t="s">
        <v>552</v>
      </c>
      <c r="E65" s="988"/>
      <c r="F65" s="988"/>
      <c r="G65" s="988"/>
      <c r="H65" s="988"/>
      <c r="I65" s="702">
        <f>INDEX('[1]Detail 2025-26 FEFP Second'!I$1:I$65536,MATCH(A1,'[1]Detail 2025-26 FEFP Second'!A$1:A$65536))</f>
        <v>185851.83000000002</v>
      </c>
      <c r="J65" s="704"/>
      <c r="M65" s="2"/>
      <c r="R65" s="190"/>
      <c r="S65" s="170"/>
      <c r="T65" s="170"/>
      <c r="U65" s="170"/>
      <c r="V65" s="170"/>
      <c r="W65" s="189" t="s">
        <v>68</v>
      </c>
      <c r="X65" s="918">
        <f>ROUND(T64/X64,6)</f>
        <v>0</v>
      </c>
      <c r="Y65" s="918"/>
    </row>
    <row r="66" spans="1:26" ht="19.5" customHeight="1" x14ac:dyDescent="0.25">
      <c r="A66" s="754"/>
      <c r="H66" s="53" t="s">
        <v>68</v>
      </c>
      <c r="I66" s="943">
        <f>IFERROR(ROUND(C65/I65,6),0)</f>
        <v>8.8800000000000001E-4</v>
      </c>
      <c r="J66" s="943"/>
      <c r="M66" s="2"/>
      <c r="R66" s="759"/>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762"/>
      <c r="V67" s="193">
        <f>G68</f>
        <v>47290747</v>
      </c>
      <c r="W67" s="746" t="s">
        <v>81</v>
      </c>
      <c r="X67" s="176">
        <f>X62</f>
        <v>0</v>
      </c>
      <c r="Y67" s="271">
        <f>ROUND(V67*X67,2)</f>
        <v>0</v>
      </c>
    </row>
    <row r="68" spans="1:26" ht="30.75" customHeight="1" x14ac:dyDescent="0.25">
      <c r="A68" s="944" t="s">
        <v>79</v>
      </c>
      <c r="B68" s="944"/>
      <c r="C68" s="944"/>
      <c r="D68" s="944"/>
      <c r="E68" s="944"/>
      <c r="F68" s="767" t="s">
        <v>80</v>
      </c>
      <c r="G68" s="277">
        <f>INDEX('[1]Detail 2025-26 FEFP Second'!N$1:N$65536,MATCH(A1,'[1]Detail 2025-26 FEFP Second'!A$1:A$65536))</f>
        <v>47290747</v>
      </c>
      <c r="H68" s="744" t="s">
        <v>81</v>
      </c>
      <c r="I68" s="41">
        <f>I63</f>
        <v>7.67E-4</v>
      </c>
      <c r="J68" s="138">
        <f>ROUND(G68*I68,2)</f>
        <v>36272</v>
      </c>
      <c r="M68" s="2"/>
      <c r="R68" s="898" t="s">
        <v>82</v>
      </c>
      <c r="S68" s="898"/>
      <c r="T68" s="741"/>
      <c r="U68" s="762"/>
      <c r="V68" s="194"/>
      <c r="W68" s="746"/>
      <c r="X68" s="176"/>
      <c r="Y68" s="271"/>
    </row>
    <row r="69" spans="1:26" ht="30.75" customHeight="1" x14ac:dyDescent="0.25">
      <c r="A69" s="945" t="s">
        <v>82</v>
      </c>
      <c r="B69" s="945"/>
      <c r="C69" s="769"/>
      <c r="D69" s="769"/>
      <c r="E69" s="753"/>
      <c r="F69" s="767"/>
      <c r="G69" s="63"/>
      <c r="H69" s="744"/>
      <c r="I69" s="41"/>
      <c r="J69" s="62"/>
      <c r="M69" s="2"/>
      <c r="R69" s="921" t="s">
        <v>166</v>
      </c>
      <c r="S69" s="915"/>
      <c r="T69" s="915"/>
      <c r="U69" s="762"/>
      <c r="V69" s="195">
        <f>G70</f>
        <v>0</v>
      </c>
      <c r="W69" s="746" t="s">
        <v>81</v>
      </c>
      <c r="X69" s="176">
        <f>X53</f>
        <v>0</v>
      </c>
      <c r="Y69" s="266">
        <f t="shared" ref="Y69:Y71" si="11">ROUND(V69*X69,2)</f>
        <v>0</v>
      </c>
    </row>
    <row r="70" spans="1:26" ht="17.25" customHeight="1" x14ac:dyDescent="0.25">
      <c r="A70" s="946" t="s">
        <v>83</v>
      </c>
      <c r="B70" s="946"/>
      <c r="C70" s="946"/>
      <c r="D70" s="946"/>
      <c r="E70" s="946"/>
      <c r="F70" s="767" t="s">
        <v>84</v>
      </c>
      <c r="G70" s="277">
        <f>INDEX('[1]Detail 2025-26 FEFP Second'!L$1:L$65536,MATCH(A1,'[1]Detail 2025-26 FEFP Second'!A$1:A$65536))</f>
        <v>0</v>
      </c>
      <c r="H70" s="744" t="s">
        <v>81</v>
      </c>
      <c r="I70" s="41">
        <f>I54</f>
        <v>7.6599999999999997E-4</v>
      </c>
      <c r="J70" s="138">
        <f>ROUND(G70*I70,2)</f>
        <v>0</v>
      </c>
      <c r="M70" s="2"/>
      <c r="R70" s="860" t="s">
        <v>167</v>
      </c>
      <c r="S70" s="860"/>
      <c r="T70" s="860"/>
      <c r="U70" s="762"/>
      <c r="V70" s="193">
        <f>G71</f>
        <v>19167881</v>
      </c>
      <c r="W70" s="746" t="s">
        <v>81</v>
      </c>
      <c r="X70" s="176">
        <f>X65</f>
        <v>0</v>
      </c>
      <c r="Y70" s="266">
        <f t="shared" si="11"/>
        <v>0</v>
      </c>
    </row>
    <row r="71" spans="1:26" ht="19.5" customHeight="1" x14ac:dyDescent="0.25">
      <c r="A71" s="896" t="s">
        <v>85</v>
      </c>
      <c r="B71" s="896"/>
      <c r="C71" s="896"/>
      <c r="D71" s="896"/>
      <c r="E71" s="896"/>
      <c r="F71" s="767" t="s">
        <v>86</v>
      </c>
      <c r="G71" s="277">
        <f>INDEX('[1]Detail 2025-26 FEFP Second'!M$1:M$65536,MATCH(A1,'[1]Detail 2025-26 FEFP Second'!A$1:A$65536))</f>
        <v>19167881</v>
      </c>
      <c r="H71" s="744" t="s">
        <v>81</v>
      </c>
      <c r="I71" s="41">
        <f>I66</f>
        <v>8.8800000000000001E-4</v>
      </c>
      <c r="J71" s="138">
        <f>ROUND(G71*I71,2)</f>
        <v>17021.080000000002</v>
      </c>
      <c r="M71" s="2"/>
      <c r="R71" s="741" t="s">
        <v>168</v>
      </c>
      <c r="S71" s="741"/>
      <c r="T71" s="741"/>
      <c r="U71" s="762"/>
      <c r="V71" s="171">
        <f>G72</f>
        <v>11546889</v>
      </c>
      <c r="W71" s="746" t="s">
        <v>81</v>
      </c>
      <c r="X71" s="176">
        <f>X59</f>
        <v>0</v>
      </c>
      <c r="Y71" s="266">
        <f t="shared" si="11"/>
        <v>0</v>
      </c>
    </row>
    <row r="72" spans="1:26" ht="19.5" customHeight="1" x14ac:dyDescent="0.25">
      <c r="A72" s="753" t="s">
        <v>87</v>
      </c>
      <c r="B72" s="753"/>
      <c r="C72" s="753"/>
      <c r="D72" s="753"/>
      <c r="E72" s="753"/>
      <c r="F72" s="767" t="s">
        <v>88</v>
      </c>
      <c r="G72" s="277">
        <f>INDEX('[1]Detail 2025-26 FEFP Second'!T$1:T$65536,MATCH(A1,'[1]Detail 2025-26 FEFP Second'!A$1:A$65536))</f>
        <v>11546889</v>
      </c>
      <c r="H72" s="744" t="s">
        <v>81</v>
      </c>
      <c r="I72" s="41">
        <f>I60</f>
        <v>8.8599999999999996E-4</v>
      </c>
      <c r="J72" s="138">
        <f>ROUND(G72*I72,2)</f>
        <v>10230.540000000001</v>
      </c>
      <c r="M72" s="2"/>
      <c r="R72" s="741" t="s">
        <v>169</v>
      </c>
      <c r="S72" s="741"/>
      <c r="T72" s="741"/>
      <c r="U72" s="762"/>
      <c r="V72" s="196"/>
      <c r="W72" s="746"/>
      <c r="X72" s="176"/>
      <c r="Y72" s="178"/>
    </row>
    <row r="73" spans="1:26" ht="24.75" customHeight="1" x14ac:dyDescent="0.25">
      <c r="A73" s="753" t="s">
        <v>89</v>
      </c>
      <c r="B73" s="753"/>
      <c r="C73" s="753"/>
      <c r="D73" s="753"/>
      <c r="E73" s="753"/>
      <c r="F73" s="767" t="s">
        <v>90</v>
      </c>
      <c r="G73" s="64"/>
      <c r="H73" s="744"/>
      <c r="I73" s="41"/>
      <c r="J73" s="30"/>
      <c r="M73" s="2"/>
      <c r="R73" s="851" t="s">
        <v>91</v>
      </c>
      <c r="S73" s="851"/>
      <c r="T73" s="852" t="s">
        <v>170</v>
      </c>
      <c r="U73" s="853"/>
      <c r="V73" s="853"/>
      <c r="W73" s="853"/>
      <c r="X73" s="853"/>
      <c r="Y73" s="153"/>
    </row>
    <row r="74" spans="1:26" ht="63" customHeight="1" x14ac:dyDescent="0.25">
      <c r="A74" s="854" t="s">
        <v>91</v>
      </c>
      <c r="B74" s="854"/>
      <c r="C74" s="737"/>
      <c r="D74" s="737"/>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735"/>
      <c r="D75" s="735"/>
      <c r="E75" s="65"/>
      <c r="F75" s="65"/>
      <c r="G75" s="65"/>
      <c r="H75" s="65"/>
      <c r="I75" s="65"/>
      <c r="J75" s="129"/>
      <c r="L75" s="66"/>
      <c r="M75" s="2"/>
      <c r="O75" s="767"/>
      <c r="P75" s="767"/>
      <c r="R75" s="857" t="s">
        <v>94</v>
      </c>
      <c r="S75" s="857"/>
      <c r="T75" s="197"/>
      <c r="U75" s="197"/>
      <c r="V75" s="197"/>
      <c r="W75" s="197"/>
      <c r="X75" s="197"/>
      <c r="Y75" s="197"/>
    </row>
    <row r="76" spans="1:26" ht="18.75" customHeight="1" x14ac:dyDescent="0.25">
      <c r="A76" s="837" t="s">
        <v>94</v>
      </c>
      <c r="B76" s="837"/>
      <c r="C76" s="735"/>
      <c r="D76" s="735"/>
      <c r="E76" s="65"/>
      <c r="F76" s="65"/>
      <c r="G76" s="65"/>
      <c r="H76" s="65"/>
      <c r="I76" s="65"/>
      <c r="J76" s="129"/>
      <c r="L76" s="67"/>
      <c r="M76" s="2"/>
      <c r="O76" s="767"/>
      <c r="P76" s="767"/>
      <c r="R76" s="861" t="s">
        <v>95</v>
      </c>
      <c r="S76" s="861"/>
      <c r="T76" s="198"/>
      <c r="U76" s="198"/>
      <c r="V76" s="198"/>
      <c r="W76" s="198"/>
      <c r="X76" s="198"/>
      <c r="Y76" s="197"/>
    </row>
    <row r="77" spans="1:26" ht="18.75" customHeight="1" x14ac:dyDescent="0.25">
      <c r="A77" s="862" t="s">
        <v>95</v>
      </c>
      <c r="B77" s="862"/>
      <c r="C77" s="742"/>
      <c r="D77" s="742"/>
      <c r="E77" s="68"/>
      <c r="F77" s="68"/>
      <c r="G77" s="68"/>
      <c r="H77" s="68"/>
      <c r="I77" s="68"/>
      <c r="J77" s="128"/>
      <c r="L77" s="67"/>
      <c r="M77" s="2"/>
      <c r="O77" s="767"/>
      <c r="P77" s="767"/>
      <c r="R77" s="738" t="s">
        <v>96</v>
      </c>
      <c r="S77" s="738"/>
      <c r="T77" s="197"/>
      <c r="U77" s="197"/>
      <c r="V77" s="197"/>
      <c r="W77" s="197"/>
      <c r="X77" s="197"/>
      <c r="Y77" s="197"/>
    </row>
    <row r="78" spans="1:26" ht="20.25" customHeight="1" x14ac:dyDescent="0.25">
      <c r="A78" s="735" t="s">
        <v>96</v>
      </c>
      <c r="B78" s="735"/>
      <c r="C78" s="735"/>
      <c r="D78" s="735"/>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735"/>
      <c r="D79" s="735"/>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743"/>
      <c r="D80" s="743"/>
      <c r="E80" s="73"/>
      <c r="F80" s="73"/>
      <c r="G80" s="73"/>
      <c r="H80" s="73"/>
      <c r="I80" s="73"/>
      <c r="J80" s="129"/>
      <c r="K80" s="70"/>
      <c r="L80" s="70"/>
      <c r="M80" s="71"/>
      <c r="N80" s="70"/>
      <c r="O80" s="70"/>
      <c r="P80" s="70"/>
      <c r="Q80" s="70"/>
      <c r="R80" s="756"/>
      <c r="S80" s="756"/>
      <c r="T80" s="756"/>
      <c r="U80" s="756"/>
      <c r="V80" s="164"/>
      <c r="W80" s="755"/>
      <c r="X80" s="755" t="s">
        <v>99</v>
      </c>
      <c r="Y80" s="201">
        <f>SUM(Y74:Y79)</f>
        <v>0</v>
      </c>
      <c r="Z80" s="72"/>
    </row>
    <row r="81" spans="1:26" ht="17.25" customHeight="1" x14ac:dyDescent="0.25">
      <c r="A81" s="757"/>
      <c r="B81" s="757"/>
      <c r="C81" s="757"/>
      <c r="D81" s="757"/>
      <c r="E81" s="757"/>
      <c r="F81" s="757"/>
      <c r="G81" s="31"/>
      <c r="H81" s="772"/>
      <c r="I81" s="772" t="s">
        <v>99</v>
      </c>
      <c r="J81" s="74">
        <f>SUM(J75:J80)</f>
        <v>0</v>
      </c>
      <c r="K81" s="70"/>
      <c r="L81" s="70"/>
      <c r="M81" s="71"/>
      <c r="N81" s="70"/>
      <c r="O81" s="70"/>
      <c r="P81" s="70"/>
      <c r="Q81" s="70"/>
      <c r="R81" s="756"/>
      <c r="S81" s="756"/>
      <c r="T81" s="756"/>
      <c r="U81" s="756"/>
      <c r="V81" s="164"/>
      <c r="W81" s="755"/>
      <c r="X81" s="755" t="s">
        <v>100</v>
      </c>
      <c r="Y81" s="201">
        <f>J82</f>
        <v>11461.43</v>
      </c>
      <c r="Z81" s="72"/>
    </row>
    <row r="82" spans="1:26" ht="18.75" customHeight="1" x14ac:dyDescent="0.25">
      <c r="A82" s="757"/>
      <c r="B82" s="757"/>
      <c r="C82" s="757"/>
      <c r="D82" s="757"/>
      <c r="E82" s="757"/>
      <c r="F82" s="757"/>
      <c r="G82" s="31"/>
      <c r="H82" s="772"/>
      <c r="I82" s="772" t="s">
        <v>100</v>
      </c>
      <c r="J82" s="74">
        <f>INDEX('[1]Detail 2025-26 FEFP Second'!J$1:J$65536,MATCH(A1,'[1]Detail 2025-26 FEFP Second'!A$1:A$65536))</f>
        <v>11461.43</v>
      </c>
      <c r="K82" s="70"/>
      <c r="L82" s="70"/>
      <c r="M82" s="71"/>
      <c r="N82" s="70"/>
      <c r="O82" s="70"/>
      <c r="P82" s="70"/>
      <c r="Q82" s="70"/>
      <c r="R82" s="756"/>
      <c r="S82" s="756"/>
      <c r="T82" s="756"/>
      <c r="U82" s="756"/>
      <c r="V82" s="164"/>
      <c r="W82" s="755"/>
      <c r="X82" s="755"/>
      <c r="Y82" s="202"/>
      <c r="Z82" s="72"/>
    </row>
    <row r="83" spans="1:26" ht="15.75" customHeight="1" x14ac:dyDescent="0.25">
      <c r="A83" s="757"/>
      <c r="B83" s="757"/>
      <c r="C83" s="757"/>
      <c r="D83" s="757"/>
      <c r="E83" s="757"/>
      <c r="F83" s="757"/>
      <c r="G83" s="31"/>
      <c r="H83" s="772"/>
      <c r="I83" s="772"/>
      <c r="J83" s="75"/>
      <c r="K83" s="70"/>
      <c r="L83" s="70"/>
      <c r="M83" s="71"/>
      <c r="N83" s="70"/>
      <c r="O83" s="70"/>
      <c r="P83" s="70"/>
      <c r="Q83" s="70"/>
      <c r="R83" s="858" t="s">
        <v>101</v>
      </c>
      <c r="S83" s="858"/>
      <c r="T83" s="170"/>
      <c r="U83" s="170"/>
      <c r="V83" s="171">
        <f>G84</f>
        <v>63269727</v>
      </c>
      <c r="W83" s="746" t="s">
        <v>81</v>
      </c>
      <c r="X83" s="176">
        <f>IFERROR(ROUND(Y80/Y81,6),0)</f>
        <v>0</v>
      </c>
      <c r="Y83" s="266">
        <f>ROUND(V83*X83,2)</f>
        <v>0</v>
      </c>
      <c r="Z83" s="72"/>
    </row>
    <row r="84" spans="1:26" ht="21" customHeight="1" x14ac:dyDescent="0.25">
      <c r="A84" s="859" t="s">
        <v>101</v>
      </c>
      <c r="B84" s="859"/>
      <c r="C84" s="740"/>
      <c r="D84" s="740"/>
      <c r="G84" s="121">
        <f>INDEX('[1]Detail 2025-26 FEFP Second'!O$1:O$65536,MATCH(A1,'[1]Detail 2025-26 FEFP Second'!A$1:A$65536))</f>
        <v>63269727</v>
      </c>
      <c r="H84" s="744" t="s">
        <v>81</v>
      </c>
      <c r="I84" s="41">
        <f>IFERROR(ROUND(J81/J82,6),0)</f>
        <v>0</v>
      </c>
      <c r="J84" s="62">
        <f>ROUND(G84*I84,2)</f>
        <v>0</v>
      </c>
      <c r="K84" s="70"/>
      <c r="L84" s="70"/>
      <c r="M84" s="71"/>
      <c r="N84" s="70"/>
      <c r="O84" s="70"/>
      <c r="P84" s="70"/>
      <c r="Q84" s="70"/>
      <c r="R84" s="860" t="s">
        <v>171</v>
      </c>
      <c r="S84" s="860"/>
      <c r="T84" s="860"/>
      <c r="U84" s="762"/>
      <c r="V84" s="274"/>
      <c r="W84" s="746"/>
      <c r="X84" s="176"/>
      <c r="Y84" s="266"/>
    </row>
    <row r="85" spans="1:26" ht="17.25" customHeight="1" x14ac:dyDescent="0.25">
      <c r="A85" s="896" t="s">
        <v>102</v>
      </c>
      <c r="B85" s="896"/>
      <c r="C85" s="896"/>
      <c r="D85" s="896"/>
      <c r="E85" s="896"/>
      <c r="F85" s="767" t="s">
        <v>103</v>
      </c>
      <c r="G85" s="121">
        <f>INDEX('[1]Detail 2025-26 FEFP Second'!Q$1:Q$65536,MATCH(A1,'[1]Detail 2025-26 FEFP Second'!A$1:A$65536))</f>
        <v>268816278</v>
      </c>
      <c r="H85" s="744" t="s">
        <v>81</v>
      </c>
      <c r="I85" s="41">
        <f>I57</f>
        <v>7.8100000000000001E-4</v>
      </c>
      <c r="J85" s="138">
        <f>ROUND(G85*I85,2)</f>
        <v>209945.51</v>
      </c>
      <c r="K85" s="70"/>
      <c r="L85" s="70"/>
      <c r="M85" s="71"/>
      <c r="N85" s="70"/>
      <c r="O85" s="70"/>
      <c r="P85" s="70"/>
      <c r="Q85" s="70"/>
      <c r="R85" s="860" t="s">
        <v>172</v>
      </c>
      <c r="S85" s="860"/>
      <c r="T85" s="860"/>
      <c r="U85" s="762"/>
      <c r="V85" s="171">
        <f>G85</f>
        <v>268816278</v>
      </c>
      <c r="W85" s="746" t="s">
        <v>81</v>
      </c>
      <c r="X85" s="176">
        <f>X56</f>
        <v>7.8100000000000001E-4</v>
      </c>
      <c r="Y85" s="266">
        <f t="shared" ref="Y85:Y87" si="12">ROUND(V85*X85,2)</f>
        <v>209945.51</v>
      </c>
    </row>
    <row r="86" spans="1:26" ht="14.25" customHeight="1" x14ac:dyDescent="0.25">
      <c r="A86" s="896" t="s">
        <v>104</v>
      </c>
      <c r="B86" s="896"/>
      <c r="C86" s="896"/>
      <c r="D86" s="896"/>
      <c r="E86" s="896"/>
      <c r="F86" s="767" t="s">
        <v>103</v>
      </c>
      <c r="G86" s="139">
        <v>0</v>
      </c>
      <c r="H86" s="744" t="s">
        <v>81</v>
      </c>
      <c r="I86" s="41">
        <f>I57</f>
        <v>7.8100000000000001E-4</v>
      </c>
      <c r="J86" s="138">
        <f>ROUND(G86*I86,2)</f>
        <v>0</v>
      </c>
      <c r="K86" s="70"/>
      <c r="L86" s="71"/>
      <c r="M86" s="76"/>
      <c r="N86" s="76"/>
      <c r="O86" s="76"/>
      <c r="P86" s="76"/>
      <c r="Q86" s="70"/>
      <c r="R86" s="860" t="s">
        <v>173</v>
      </c>
      <c r="S86" s="860"/>
      <c r="T86" s="860"/>
      <c r="U86" s="762"/>
      <c r="V86" s="203">
        <f>G86</f>
        <v>0</v>
      </c>
      <c r="W86" s="746" t="s">
        <v>81</v>
      </c>
      <c r="X86" s="176">
        <f>X56</f>
        <v>7.8100000000000001E-4</v>
      </c>
      <c r="Y86" s="266">
        <f t="shared" si="12"/>
        <v>0</v>
      </c>
    </row>
    <row r="87" spans="1:26" ht="18" customHeight="1" x14ac:dyDescent="0.25">
      <c r="A87" s="896" t="s">
        <v>105</v>
      </c>
      <c r="B87" s="896"/>
      <c r="C87" s="896"/>
      <c r="D87" s="896"/>
      <c r="E87" s="896"/>
      <c r="F87" s="767" t="s">
        <v>84</v>
      </c>
      <c r="G87" s="139">
        <v>0</v>
      </c>
      <c r="H87" s="744" t="s">
        <v>81</v>
      </c>
      <c r="I87" s="41">
        <f>I54</f>
        <v>7.6599999999999997E-4</v>
      </c>
      <c r="J87" s="62">
        <f>ROUND(G87*I87,2)</f>
        <v>0</v>
      </c>
      <c r="K87" s="77"/>
      <c r="L87" s="70"/>
      <c r="M87" s="71"/>
      <c r="N87" s="70"/>
      <c r="O87" s="70"/>
      <c r="P87" s="70"/>
      <c r="Q87" s="70"/>
      <c r="R87" s="741" t="s">
        <v>174</v>
      </c>
      <c r="S87" s="741"/>
      <c r="T87" s="741"/>
      <c r="U87" s="762"/>
      <c r="V87" s="203">
        <f>G87</f>
        <v>0</v>
      </c>
      <c r="W87" s="746"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757" t="s">
        <v>110</v>
      </c>
      <c r="B90" s="745">
        <f>I12+I13+I18+I21+I24</f>
        <v>142.93199999999999</v>
      </c>
      <c r="C90" s="745"/>
      <c r="D90" s="867">
        <f>I6</f>
        <v>1.0355000000000001</v>
      </c>
      <c r="E90" s="867"/>
      <c r="F90" s="867"/>
      <c r="G90" s="122">
        <f>'[1]Detail 2025-26 FEFP Second'!AB3</f>
        <v>958.42</v>
      </c>
      <c r="H90" s="47" t="s">
        <v>68</v>
      </c>
      <c r="I90" s="708">
        <f>ROUND(B90*D90*G90,2)</f>
        <v>141851.99</v>
      </c>
      <c r="J90" s="81"/>
      <c r="K90" s="70"/>
      <c r="L90" s="70"/>
      <c r="M90" s="71"/>
      <c r="N90" s="70"/>
      <c r="O90" s="70"/>
      <c r="P90" s="70"/>
      <c r="Q90" s="70"/>
      <c r="R90" s="756" t="s">
        <v>110</v>
      </c>
      <c r="S90" s="760">
        <f>X12+X13+X18+X21+X24</f>
        <v>0</v>
      </c>
      <c r="T90" s="922">
        <f>X6</f>
        <v>1.0355000000000001</v>
      </c>
      <c r="U90" s="922"/>
      <c r="V90" s="122">
        <f>G90</f>
        <v>958.42</v>
      </c>
      <c r="W90" s="182" t="s">
        <v>68</v>
      </c>
      <c r="X90" s="272">
        <f>ROUND(S90*T90*V90,2)</f>
        <v>0</v>
      </c>
      <c r="Y90" s="205"/>
    </row>
    <row r="91" spans="1:26" ht="21" customHeight="1" x14ac:dyDescent="0.25">
      <c r="A91" s="82" t="s">
        <v>60</v>
      </c>
      <c r="B91" s="745">
        <f>I14+I15+I19+I22+I25</f>
        <v>36</v>
      </c>
      <c r="C91" s="745"/>
      <c r="D91" s="867">
        <f>I6</f>
        <v>1.0355000000000001</v>
      </c>
      <c r="E91" s="867"/>
      <c r="F91" s="867"/>
      <c r="G91" s="122">
        <f>'[1]Detail 2025-26 FEFP Second'!AC3</f>
        <v>915.09</v>
      </c>
      <c r="H91" s="47" t="s">
        <v>68</v>
      </c>
      <c r="I91" s="707">
        <f>ROUND(B91*D91*G91,2)</f>
        <v>34112.730000000003</v>
      </c>
      <c r="K91" s="70"/>
      <c r="L91" s="70"/>
      <c r="M91" s="71"/>
      <c r="N91" s="70"/>
      <c r="O91" s="70"/>
      <c r="P91" s="70"/>
      <c r="Q91" s="70"/>
      <c r="R91" s="206" t="s">
        <v>60</v>
      </c>
      <c r="S91" s="760">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766" t="s">
        <v>111</v>
      </c>
      <c r="B93" s="109">
        <f>SUM(B90:B92)</f>
        <v>178.93199999999999</v>
      </c>
      <c r="C93" s="109"/>
      <c r="D93" s="109"/>
      <c r="E93" s="937" t="s">
        <v>112</v>
      </c>
      <c r="F93" s="937"/>
      <c r="G93" s="937"/>
      <c r="H93" s="937"/>
      <c r="I93" s="937"/>
      <c r="J93" s="127">
        <f>IF(A1=75,0,I92+I91+I90)</f>
        <v>175964.72</v>
      </c>
      <c r="K93" s="70"/>
      <c r="L93" s="70"/>
      <c r="M93" s="71"/>
      <c r="N93" s="70"/>
      <c r="O93" s="70"/>
      <c r="P93" s="70"/>
      <c r="Q93" s="70"/>
      <c r="R93" s="761"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767" t="s">
        <v>115</v>
      </c>
      <c r="G95" s="939"/>
      <c r="H95" s="939"/>
      <c r="I95" s="939"/>
      <c r="J95" s="939"/>
      <c r="K95" s="70"/>
      <c r="L95" s="70"/>
      <c r="M95" s="71"/>
      <c r="N95" s="70"/>
      <c r="O95" s="70"/>
      <c r="P95" s="70"/>
      <c r="Q95" s="70"/>
      <c r="R95" s="860" t="s">
        <v>177</v>
      </c>
      <c r="S95" s="860"/>
      <c r="T95" s="860"/>
      <c r="U95" s="762"/>
      <c r="V95" s="926"/>
      <c r="W95" s="926"/>
      <c r="X95" s="926"/>
      <c r="Y95" s="926"/>
    </row>
    <row r="96" spans="1:26" ht="15" customHeight="1" x14ac:dyDescent="0.25">
      <c r="B96" s="753"/>
      <c r="C96" s="123" t="s">
        <v>159</v>
      </c>
      <c r="D96" s="123" t="s">
        <v>160</v>
      </c>
      <c r="E96" s="870" t="s">
        <v>161</v>
      </c>
      <c r="F96" s="870"/>
      <c r="G96" s="870"/>
      <c r="H96" s="767"/>
      <c r="I96" s="767"/>
      <c r="J96" s="767"/>
      <c r="K96" s="70"/>
      <c r="L96" s="70"/>
      <c r="M96" s="71"/>
      <c r="N96" s="70"/>
      <c r="O96" s="70"/>
      <c r="P96" s="70"/>
      <c r="Q96" s="70"/>
      <c r="R96" s="927" t="s">
        <v>116</v>
      </c>
      <c r="S96" s="927"/>
      <c r="T96" s="928">
        <f>IF(I111=1,E97,0)</f>
        <v>0</v>
      </c>
      <c r="U96" s="928"/>
      <c r="V96" s="928"/>
      <c r="W96" s="747" t="s">
        <v>117</v>
      </c>
      <c r="X96" s="212">
        <f>I97</f>
        <v>617</v>
      </c>
      <c r="Y96" s="266">
        <f>ROUND(X96*T96,2)</f>
        <v>0</v>
      </c>
    </row>
    <row r="97" spans="1:25" ht="17.25" customHeight="1" x14ac:dyDescent="0.25">
      <c r="A97" s="910" t="s">
        <v>116</v>
      </c>
      <c r="B97" s="910"/>
      <c r="C97" s="279">
        <v>0</v>
      </c>
      <c r="D97" s="279">
        <v>0</v>
      </c>
      <c r="E97" s="940">
        <f>(C97+D97)/2</f>
        <v>0</v>
      </c>
      <c r="F97" s="940"/>
      <c r="G97" s="940"/>
      <c r="H97" s="773"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747" t="s">
        <v>117</v>
      </c>
      <c r="X97" s="212">
        <f>I98</f>
        <v>1870</v>
      </c>
      <c r="Y97" s="266">
        <f>ROUND(X97*T97,2)</f>
        <v>0</v>
      </c>
    </row>
    <row r="98" spans="1:25" ht="17.25" customHeight="1" x14ac:dyDescent="0.25">
      <c r="A98" s="910" t="s">
        <v>118</v>
      </c>
      <c r="B98" s="910"/>
      <c r="C98" s="279">
        <v>0</v>
      </c>
      <c r="D98" s="279"/>
      <c r="E98" s="941">
        <f>(C98+D98)/2</f>
        <v>0</v>
      </c>
      <c r="F98" s="941"/>
      <c r="G98" s="941"/>
      <c r="H98" s="773" t="s">
        <v>117</v>
      </c>
      <c r="I98" s="130">
        <f>IF(A1&gt;67,0,INDEX('[1]Transportation Per Student'!J$1:J$65536,MATCH(A1,'[1]Transportation Per Student'!B$1:B$65536)))</f>
        <v>1870</v>
      </c>
      <c r="J98" s="62">
        <f>ROUND(I98*E98,2)</f>
        <v>0</v>
      </c>
      <c r="K98" s="70"/>
      <c r="L98" s="70"/>
      <c r="M98" s="71"/>
      <c r="N98" s="70"/>
      <c r="O98" s="70"/>
      <c r="P98" s="70"/>
      <c r="Q98" s="70"/>
      <c r="R98" s="763"/>
      <c r="S98" s="763"/>
      <c r="T98" s="275"/>
      <c r="U98" s="275"/>
      <c r="V98" s="275"/>
      <c r="W98" s="747"/>
      <c r="X98" s="212"/>
      <c r="Y98" s="271"/>
    </row>
    <row r="99" spans="1:25" ht="27.75" customHeight="1" x14ac:dyDescent="0.25">
      <c r="A99" s="757"/>
      <c r="B99" s="757"/>
      <c r="C99" s="110"/>
      <c r="D99" s="110"/>
      <c r="E99" s="124"/>
      <c r="F99" s="124"/>
      <c r="G99" s="124"/>
      <c r="H99" s="773"/>
      <c r="I99" s="86"/>
      <c r="J99" s="30"/>
      <c r="K99" s="70"/>
      <c r="L99" s="70"/>
      <c r="M99" s="71"/>
      <c r="N99" s="70"/>
      <c r="O99" s="70"/>
      <c r="P99" s="70"/>
      <c r="Q99" s="70"/>
      <c r="R99" s="763"/>
      <c r="S99" s="763"/>
      <c r="T99" s="275"/>
      <c r="U99" s="275"/>
      <c r="V99" s="275"/>
      <c r="W99" s="747"/>
      <c r="X99" s="212"/>
      <c r="Y99" s="271"/>
    </row>
    <row r="100" spans="1:25" ht="14.25" customHeight="1" x14ac:dyDescent="0.25">
      <c r="A100" s="896" t="s">
        <v>119</v>
      </c>
      <c r="B100" s="896"/>
      <c r="C100" s="896"/>
      <c r="D100" s="896"/>
      <c r="E100" s="896"/>
      <c r="F100" s="744" t="s">
        <v>120</v>
      </c>
      <c r="G100" s="866"/>
      <c r="H100" s="866"/>
      <c r="I100" s="866"/>
      <c r="J100" s="866"/>
      <c r="K100" s="70"/>
      <c r="L100" s="70"/>
      <c r="M100" s="71"/>
      <c r="N100" s="70"/>
      <c r="O100" s="70"/>
      <c r="P100" s="70"/>
      <c r="Q100" s="70"/>
      <c r="R100" s="860" t="s">
        <v>178</v>
      </c>
      <c r="S100" s="860"/>
      <c r="T100" s="860"/>
      <c r="U100" s="746"/>
      <c r="V100" s="874"/>
      <c r="W100" s="874"/>
      <c r="X100" s="874"/>
      <c r="Y100" s="874"/>
    </row>
    <row r="101" spans="1:25" ht="48" customHeight="1" x14ac:dyDescent="0.25">
      <c r="A101" s="947" t="s">
        <v>121</v>
      </c>
      <c r="B101" s="947"/>
      <c r="C101" s="770"/>
      <c r="D101" s="868" t="s">
        <v>122</v>
      </c>
      <c r="E101" s="868"/>
      <c r="F101" s="868"/>
      <c r="G101" s="948" t="s">
        <v>123</v>
      </c>
      <c r="H101" s="948"/>
      <c r="I101" s="771" t="s">
        <v>124</v>
      </c>
      <c r="J101" s="770" t="s">
        <v>125</v>
      </c>
      <c r="K101" s="70"/>
      <c r="L101" s="70"/>
      <c r="M101" s="70"/>
      <c r="N101" s="70"/>
      <c r="O101" s="70"/>
      <c r="P101" s="70"/>
      <c r="Q101" s="70"/>
      <c r="R101" s="934" t="s">
        <v>121</v>
      </c>
      <c r="S101" s="934"/>
      <c r="T101" s="935" t="s">
        <v>122</v>
      </c>
      <c r="U101" s="935"/>
      <c r="V101" s="936" t="s">
        <v>123</v>
      </c>
      <c r="W101" s="936"/>
      <c r="X101" s="765" t="s">
        <v>124</v>
      </c>
      <c r="Y101" s="764" t="s">
        <v>125</v>
      </c>
    </row>
    <row r="102" spans="1:25" ht="16.5" customHeight="1" x14ac:dyDescent="0.25">
      <c r="A102" s="859" t="s">
        <v>126</v>
      </c>
      <c r="B102" s="859"/>
      <c r="C102" s="74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74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743"/>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744"/>
      <c r="D105" s="744"/>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758" t="s">
        <v>130</v>
      </c>
      <c r="G106" s="914"/>
      <c r="H106" s="914"/>
      <c r="I106" s="914"/>
      <c r="J106" s="93"/>
      <c r="K106" s="94"/>
      <c r="L106" s="94"/>
      <c r="M106" s="94"/>
      <c r="N106" s="94"/>
      <c r="O106" s="94"/>
      <c r="P106" s="94"/>
      <c r="Q106" s="94"/>
      <c r="R106" s="860" t="s">
        <v>179</v>
      </c>
      <c r="S106" s="860"/>
      <c r="T106" s="860"/>
      <c r="U106" s="768"/>
      <c r="V106" s="942"/>
      <c r="W106" s="942"/>
      <c r="X106" s="942"/>
      <c r="Y106" s="157">
        <v>0</v>
      </c>
    </row>
    <row r="107" spans="1:25" ht="30" customHeight="1" thickBot="1" x14ac:dyDescent="0.3">
      <c r="A107" s="910" t="s">
        <v>125</v>
      </c>
      <c r="B107" s="910"/>
      <c r="C107" s="910"/>
      <c r="D107" s="910"/>
      <c r="E107" s="910"/>
      <c r="F107" s="910"/>
      <c r="G107" s="910"/>
      <c r="H107" s="910"/>
      <c r="I107" s="910"/>
      <c r="J107" s="580">
        <f>SUM(J106,J105,J98,J97,J93,J86,J85,J71,J70,J68,J33,J72,J50,J87,J84)</f>
        <v>1444891.1300000001</v>
      </c>
      <c r="R107" s="860" t="s">
        <v>125</v>
      </c>
      <c r="S107" s="860"/>
      <c r="T107" s="860"/>
      <c r="U107" s="860"/>
      <c r="V107" s="860"/>
      <c r="W107" s="860"/>
      <c r="X107" s="860"/>
      <c r="Y107" s="723">
        <f>SUM(Y106,Y105,Y97,Y96,Y93,Y86,Y85,Y84,Y70,Y69,Y67,Y33,Y71,Y50,Y87,Y83)</f>
        <v>209945.51</v>
      </c>
    </row>
    <row r="108" spans="1:25" ht="15.75" customHeight="1" thickTop="1" x14ac:dyDescent="0.25">
      <c r="A108" s="866"/>
      <c r="B108" s="866"/>
      <c r="C108" s="866"/>
      <c r="D108" s="866"/>
      <c r="E108" s="866"/>
      <c r="F108" s="866"/>
      <c r="G108" s="866"/>
      <c r="H108" s="866"/>
      <c r="I108" s="866"/>
      <c r="J108" s="866"/>
      <c r="R108" s="874"/>
      <c r="S108" s="874"/>
      <c r="T108" s="874"/>
      <c r="U108" s="874"/>
      <c r="V108" s="874"/>
      <c r="W108" s="874"/>
      <c r="X108" s="874"/>
      <c r="Y108" s="874"/>
    </row>
    <row r="109" spans="1:25" ht="17.25" customHeight="1" thickBot="1" x14ac:dyDescent="0.3">
      <c r="A109" s="896" t="s">
        <v>131</v>
      </c>
      <c r="B109" s="896"/>
      <c r="C109" s="896"/>
      <c r="D109" s="896"/>
      <c r="E109" s="896"/>
      <c r="F109" s="866"/>
      <c r="G109" s="866"/>
      <c r="H109" s="866"/>
      <c r="I109" s="2" t="s">
        <v>132</v>
      </c>
      <c r="J109" s="582">
        <f>J107-J38</f>
        <v>1431082.7200000002</v>
      </c>
      <c r="R109" s="170" t="s">
        <v>180</v>
      </c>
      <c r="S109" s="170"/>
      <c r="T109" s="170"/>
      <c r="U109" s="170"/>
      <c r="V109" s="170"/>
      <c r="W109" s="170"/>
      <c r="X109" s="170"/>
      <c r="Y109" s="724">
        <f>Y107-Y38</f>
        <v>205533.24000000002</v>
      </c>
    </row>
    <row r="110" spans="1:25" ht="18.75" customHeight="1" thickTop="1" x14ac:dyDescent="0.25">
      <c r="A110" s="896" t="s">
        <v>133</v>
      </c>
      <c r="B110" s="896"/>
      <c r="C110" s="896"/>
      <c r="D110" s="896"/>
      <c r="E110" s="896"/>
      <c r="F110" s="896"/>
      <c r="G110" s="896"/>
      <c r="H110" s="896"/>
      <c r="I110" s="753" t="s">
        <v>134</v>
      </c>
      <c r="J110" s="72"/>
      <c r="R110" s="951" t="s">
        <v>136</v>
      </c>
      <c r="S110" s="951"/>
      <c r="T110" s="951"/>
      <c r="U110" s="951"/>
      <c r="V110" s="951"/>
      <c r="W110" s="951"/>
      <c r="X110" s="951"/>
      <c r="Y110" s="951"/>
    </row>
    <row r="111" spans="1:25" ht="15.75" customHeight="1" x14ac:dyDescent="0.25">
      <c r="A111" s="897" t="s">
        <v>135</v>
      </c>
      <c r="B111" s="897"/>
      <c r="C111" s="897"/>
      <c r="D111" s="897"/>
      <c r="E111" s="897"/>
      <c r="F111" s="897"/>
      <c r="G111" s="897"/>
      <c r="H111" s="897"/>
      <c r="I111" s="280"/>
      <c r="J111" s="137">
        <f>Y109</f>
        <v>205533.24000000002</v>
      </c>
      <c r="R111" s="950" t="s">
        <v>181</v>
      </c>
      <c r="S111" s="950"/>
      <c r="T111" s="950"/>
      <c r="U111" s="950"/>
      <c r="V111" s="950"/>
      <c r="W111" s="950"/>
      <c r="X111" s="950"/>
      <c r="Y111" s="950"/>
    </row>
    <row r="112" spans="1:25" ht="15.75" customHeight="1" x14ac:dyDescent="0.25">
      <c r="A112" s="754"/>
      <c r="B112" s="754"/>
      <c r="C112" s="754"/>
      <c r="D112" s="754"/>
      <c r="E112" s="754"/>
      <c r="F112" s="754"/>
      <c r="G112" s="754"/>
      <c r="H112" s="754"/>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9">
        <v>0</v>
      </c>
      <c r="I114" s="710">
        <f>IF(I111=1,J111,J109)</f>
        <v>1431082.7200000002</v>
      </c>
      <c r="J114" s="711">
        <f>ROUND(IF(E28=0,0,IF(E28&gt;250,-(((250/E28)*I114)*IF(H114="H",0.02,0.05)),IF(H114="H",-0.02*I114,-0.05*I114))),2)</f>
        <v>-71554.14</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1373336.9900000002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2"/>
      <c r="I118" s="713"/>
      <c r="J118" s="718">
        <f>-'Cumulative Payments'!R85</f>
        <v>-457779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915557.99000000022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152593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752" t="s">
        <v>146</v>
      </c>
      <c r="B138" s="752"/>
      <c r="C138" s="752"/>
      <c r="D138" s="752"/>
      <c r="E138" s="752"/>
      <c r="F138" s="752"/>
      <c r="G138" s="752"/>
      <c r="H138" s="752"/>
      <c r="I138" s="752"/>
      <c r="J138" s="752"/>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84"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448</v>
      </c>
      <c r="B2" s="102"/>
      <c r="C2" s="102"/>
      <c r="D2" s="102"/>
      <c r="E2" s="100"/>
      <c r="F2" s="100"/>
      <c r="G2" s="100"/>
      <c r="H2" s="100"/>
      <c r="I2" s="100"/>
      <c r="J2" s="100"/>
      <c r="K2" s="6"/>
      <c r="L2" s="6"/>
      <c r="M2" s="6"/>
      <c r="N2" s="6"/>
      <c r="O2" s="6"/>
      <c r="P2" s="6"/>
      <c r="Q2" s="6"/>
      <c r="R2" s="873" t="str">
        <f>Revenue_Estimate_Worksheet_for___________Charter_School</f>
        <v>Revenue Estimate Worksheet: Imagine Schools - Chancellor Campus - 3381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Second'!$C$1:$C$65536,MATCH('3381'!$A$1,'[1]Detail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177.96</v>
      </c>
      <c r="D12" s="411">
        <v>173.33</v>
      </c>
      <c r="E12" s="979">
        <f t="shared" ref="E12:E27" si="0">IF($D$28=0,C12*2,C12+D12)</f>
        <v>351.29</v>
      </c>
      <c r="F12" s="979"/>
      <c r="G12" s="980">
        <v>1.1080000000000001</v>
      </c>
      <c r="H12" s="980"/>
      <c r="I12" s="578">
        <f>ROUND(E12*G12,4)</f>
        <v>389.22930000000002</v>
      </c>
      <c r="J12" s="579">
        <f t="shared" ref="J12:J27" si="1">ROUND(ROUND(ROUND(I12*$E$6,4)*($I$6),2)*(MAX($I$7,1)),2)</f>
        <v>2165409.9900000002</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32.06</v>
      </c>
      <c r="D13" s="415">
        <v>38.020000000000003</v>
      </c>
      <c r="E13" s="965">
        <f t="shared" si="0"/>
        <v>70.080000000000013</v>
      </c>
      <c r="F13" s="965"/>
      <c r="G13" s="966">
        <v>1.1080000000000001</v>
      </c>
      <c r="H13" s="966"/>
      <c r="I13" s="578">
        <f t="shared" ref="I13:I27" si="2">ROUND(E13*G13,4)</f>
        <v>77.648600000000002</v>
      </c>
      <c r="J13" s="579">
        <f t="shared" si="1"/>
        <v>431984.58</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228.22</v>
      </c>
      <c r="D14" s="415">
        <v>227.75</v>
      </c>
      <c r="E14" s="965">
        <f t="shared" si="0"/>
        <v>455.97</v>
      </c>
      <c r="F14" s="965"/>
      <c r="G14" s="966">
        <v>1</v>
      </c>
      <c r="H14" s="966"/>
      <c r="I14" s="578">
        <f t="shared" si="2"/>
        <v>455.97</v>
      </c>
      <c r="J14" s="579">
        <f>ROUND(ROUND(ROUND(I14*$E$6,4)*($I$6),2)*(MAX($I$7,1)),2)</f>
        <v>2536710.35</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57.53</v>
      </c>
      <c r="D15" s="415">
        <v>58.06</v>
      </c>
      <c r="E15" s="965">
        <f t="shared" si="0"/>
        <v>115.59</v>
      </c>
      <c r="F15" s="965"/>
      <c r="G15" s="966">
        <v>1</v>
      </c>
      <c r="H15" s="966"/>
      <c r="I15" s="578">
        <f t="shared" si="2"/>
        <v>115.59</v>
      </c>
      <c r="J15" s="579">
        <f t="shared" si="1"/>
        <v>643065</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25.75</v>
      </c>
      <c r="D24" s="415">
        <v>24.86</v>
      </c>
      <c r="E24" s="965">
        <f t="shared" si="0"/>
        <v>50.61</v>
      </c>
      <c r="F24" s="965"/>
      <c r="G24" s="966">
        <v>1.165</v>
      </c>
      <c r="H24" s="966"/>
      <c r="I24" s="578">
        <f t="shared" si="2"/>
        <v>58.960700000000003</v>
      </c>
      <c r="J24" s="579">
        <f t="shared" si="1"/>
        <v>328017.67</v>
      </c>
      <c r="M24" s="2"/>
      <c r="R24" s="858" t="s">
        <v>32</v>
      </c>
      <c r="S24" s="858"/>
      <c r="T24" s="889">
        <f t="shared" si="3"/>
        <v>0</v>
      </c>
      <c r="U24" s="889"/>
      <c r="V24" s="894">
        <v>1</v>
      </c>
      <c r="W24" s="894"/>
      <c r="X24" s="156">
        <f t="shared" si="4"/>
        <v>0</v>
      </c>
      <c r="Y24" s="266">
        <f t="shared" si="6"/>
        <v>0</v>
      </c>
    </row>
    <row r="25" spans="1:25" x14ac:dyDescent="0.25">
      <c r="A25" s="859" t="s">
        <v>33</v>
      </c>
      <c r="B25" s="859"/>
      <c r="C25" s="415">
        <v>2.87</v>
      </c>
      <c r="D25" s="415">
        <v>2.77</v>
      </c>
      <c r="E25" s="965">
        <f t="shared" si="0"/>
        <v>5.6400000000000006</v>
      </c>
      <c r="F25" s="965"/>
      <c r="G25" s="966">
        <v>1.165</v>
      </c>
      <c r="H25" s="966"/>
      <c r="I25" s="578">
        <f t="shared" si="2"/>
        <v>6.5705999999999998</v>
      </c>
      <c r="J25" s="579">
        <f t="shared" si="1"/>
        <v>36554.400000000001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524.39</v>
      </c>
      <c r="D28" s="126">
        <f>SUM(D12:D27)</f>
        <v>524.79</v>
      </c>
      <c r="E28" s="990">
        <f>SUM(E12:E27)</f>
        <v>1049.18</v>
      </c>
      <c r="F28" s="990"/>
      <c r="G28" s="959"/>
      <c r="H28" s="959"/>
      <c r="I28" s="23">
        <f>SUM(I12:I27)</f>
        <v>1103.9692</v>
      </c>
      <c r="J28" s="127">
        <f>SUM(J12:J27)</f>
        <v>6141741.9900000002</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1103.9692</v>
      </c>
      <c r="H33" s="959" t="s">
        <v>45</v>
      </c>
      <c r="I33" s="959"/>
      <c r="J33" s="32">
        <f>SUM(J32,J28)</f>
        <v>6141741.9900000002</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6129355.2400000002</v>
      </c>
      <c r="H36" s="223" t="s">
        <v>49</v>
      </c>
      <c r="I36" s="38">
        <v>6.6699999999999995E-2</v>
      </c>
      <c r="J36" s="131">
        <f>ROUND(G36*I36,2)</f>
        <v>408827.99</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6129355.2400000002</v>
      </c>
      <c r="H37" s="223" t="s">
        <v>49</v>
      </c>
      <c r="I37" s="38">
        <v>5.4000000000000003E-3</v>
      </c>
      <c r="J37" s="131">
        <f>ROUND(G37*I37,2)</f>
        <v>33098.519999999997</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441926.51</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27.55</v>
      </c>
      <c r="D41" s="415">
        <v>32.67</v>
      </c>
      <c r="E41" s="952">
        <f t="shared" ref="E41:E49" si="7">IF($D$50=0,C41*2,C41+D41)</f>
        <v>60.22</v>
      </c>
      <c r="F41" s="952"/>
      <c r="G41" s="223" t="s">
        <v>59</v>
      </c>
      <c r="H41" s="223">
        <v>251</v>
      </c>
      <c r="I41" s="136">
        <f>INDEX('[1]111-112-113 ADDITIONAL FUND'!D$1:D$65536,MATCH($A$1,'[1]111-112-113 ADDITIONAL FUND'!A$1:A$65536))</f>
        <v>1047</v>
      </c>
      <c r="J41" s="46">
        <f t="shared" ref="J41:J49" si="8">ROUND(E41*I41,2)</f>
        <v>63050.34</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4.51</v>
      </c>
      <c r="D42" s="415">
        <v>5.35</v>
      </c>
      <c r="E42" s="952">
        <f t="shared" si="7"/>
        <v>9.86</v>
      </c>
      <c r="F42" s="952"/>
      <c r="G42" s="223" t="s">
        <v>59</v>
      </c>
      <c r="H42" s="223">
        <v>252</v>
      </c>
      <c r="I42" s="136">
        <f>INDEX('[1]111-112-113 ADDITIONAL FUND'!E$1:E$65536,MATCH($A$1,'[1]111-112-113 ADDITIONAL FUND'!A$1:A$65536))</f>
        <v>3380</v>
      </c>
      <c r="J42" s="46">
        <f t="shared" si="8"/>
        <v>33326.800000000003</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55.53</v>
      </c>
      <c r="D44" s="415">
        <v>56.04</v>
      </c>
      <c r="E44" s="952">
        <f t="shared" si="7"/>
        <v>111.57</v>
      </c>
      <c r="F44" s="952"/>
      <c r="G44" s="47" t="s">
        <v>60</v>
      </c>
      <c r="H44" s="223">
        <v>251</v>
      </c>
      <c r="I44" s="136">
        <f>INDEX('[1]111-112-113 ADDITIONAL FUND'!G$1:G$65536,MATCH($A$1,'[1]111-112-113 ADDITIONAL FUND'!A$1:A$65536))</f>
        <v>1173</v>
      </c>
      <c r="J44" s="137">
        <f t="shared" si="8"/>
        <v>130871.61</v>
      </c>
      <c r="L44" s="3"/>
      <c r="M44" s="2"/>
      <c r="Q44" s="4"/>
      <c r="R44" s="901"/>
      <c r="S44" s="901"/>
      <c r="T44" s="903"/>
      <c r="U44" s="903"/>
      <c r="V44" s="182" t="s">
        <v>60</v>
      </c>
      <c r="W44" s="239">
        <v>251</v>
      </c>
      <c r="X44" s="134">
        <f t="shared" si="9"/>
        <v>1173</v>
      </c>
      <c r="Y44" s="269">
        <f t="shared" si="10"/>
        <v>0</v>
      </c>
    </row>
    <row r="45" spans="1:25" x14ac:dyDescent="0.25">
      <c r="A45" s="958"/>
      <c r="B45" s="958"/>
      <c r="C45" s="415">
        <v>2</v>
      </c>
      <c r="D45" s="415">
        <v>2.02</v>
      </c>
      <c r="E45" s="952">
        <f t="shared" si="7"/>
        <v>4.0199999999999996</v>
      </c>
      <c r="F45" s="952"/>
      <c r="G45" s="47" t="s">
        <v>60</v>
      </c>
      <c r="H45" s="223">
        <v>252</v>
      </c>
      <c r="I45" s="136">
        <f>INDEX('[1]111-112-113 ADDITIONAL FUND'!H$1:H$65536,MATCH($A$1,'[1]111-112-113 ADDITIONAL FUND'!A$1:A$65536))</f>
        <v>3506</v>
      </c>
      <c r="J45" s="46">
        <f t="shared" si="8"/>
        <v>14094.12</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89.59</v>
      </c>
      <c r="D50" s="585">
        <f>SUM(D41:D49)</f>
        <v>96.08</v>
      </c>
      <c r="E50" s="954">
        <f>SUM(E41:E49)</f>
        <v>185.67</v>
      </c>
      <c r="F50" s="954"/>
      <c r="G50" s="910" t="s">
        <v>63</v>
      </c>
      <c r="H50" s="910"/>
      <c r="I50" s="910"/>
      <c r="J50" s="276">
        <f>SUM(J41:J49)</f>
        <v>241342.87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1049.18</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4.8729999999999997E-3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1103.9692</v>
      </c>
      <c r="U55" s="184" t="s">
        <v>66</v>
      </c>
      <c r="V55" s="185"/>
      <c r="W55" s="186" t="s">
        <v>71</v>
      </c>
      <c r="X55" s="917">
        <f>I56</f>
        <v>229051.25000000003</v>
      </c>
      <c r="Y55" s="917"/>
    </row>
    <row r="56" spans="1:25" ht="16.5" customHeight="1" x14ac:dyDescent="0.25">
      <c r="A56" s="897" t="s">
        <v>70</v>
      </c>
      <c r="B56" s="897"/>
      <c r="C56" s="237"/>
      <c r="D56" s="237"/>
      <c r="E56" s="48">
        <f>G33</f>
        <v>1103.9692</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4.8199999999999996E-3</v>
      </c>
      <c r="Y56" s="918"/>
    </row>
    <row r="57" spans="1:25" ht="18.75" customHeight="1" x14ac:dyDescent="0.25">
      <c r="A57" s="237"/>
      <c r="H57" s="53" t="s">
        <v>68</v>
      </c>
      <c r="I57" s="943">
        <f>IFERROR(ROUND(E56/I56,6),0)</f>
        <v>4.8199999999999996E-3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1049.18</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5.6360000000000004E-3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1049.18</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4.8799999999999998E-3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1049.18</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5.6449999999999998E-3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4.8799999999999998E-3</v>
      </c>
      <c r="J68" s="138">
        <f>ROUND(G68*I68,2)</f>
        <v>230778.85</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4.8729999999999997E-3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5.6449999999999998E-3</v>
      </c>
      <c r="J71" s="138">
        <f>ROUND(G71*I71,2)</f>
        <v>108202.69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5.6360000000000004E-3</v>
      </c>
      <c r="J72" s="138">
        <f>ROUND(G72*I72,2)</f>
        <v>65078.27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4.8199999999999996E-3</v>
      </c>
      <c r="J85" s="138">
        <f>ROUND(G85*I85,2)</f>
        <v>1295694.46</v>
      </c>
      <c r="K85" s="70"/>
      <c r="L85" s="70"/>
      <c r="M85" s="71"/>
      <c r="N85" s="70"/>
      <c r="O85" s="70"/>
      <c r="P85" s="70"/>
      <c r="Q85" s="70"/>
      <c r="R85" s="860" t="s">
        <v>172</v>
      </c>
      <c r="S85" s="860"/>
      <c r="T85" s="860"/>
      <c r="U85" s="253"/>
      <c r="V85" s="171">
        <f>G85</f>
        <v>268816278</v>
      </c>
      <c r="W85" s="239" t="s">
        <v>81</v>
      </c>
      <c r="X85" s="176">
        <f>X56</f>
        <v>4.8199999999999996E-3</v>
      </c>
      <c r="Y85" s="266">
        <f t="shared" ref="Y85:Y87" si="12">ROUND(V85*X85,2)</f>
        <v>1295694.46</v>
      </c>
    </row>
    <row r="86" spans="1:26" ht="14.25" customHeight="1" x14ac:dyDescent="0.25">
      <c r="A86" s="896" t="s">
        <v>104</v>
      </c>
      <c r="B86" s="896"/>
      <c r="C86" s="896"/>
      <c r="D86" s="896"/>
      <c r="E86" s="896"/>
      <c r="F86" s="248" t="s">
        <v>103</v>
      </c>
      <c r="G86" s="139">
        <v>0</v>
      </c>
      <c r="H86" s="223" t="s">
        <v>81</v>
      </c>
      <c r="I86" s="41">
        <f>I57</f>
        <v>4.8199999999999996E-3</v>
      </c>
      <c r="J86" s="138">
        <f>ROUND(G86*I86,2)</f>
        <v>0</v>
      </c>
      <c r="K86" s="70"/>
      <c r="L86" s="71"/>
      <c r="M86" s="76"/>
      <c r="N86" s="76"/>
      <c r="O86" s="76"/>
      <c r="P86" s="76"/>
      <c r="Q86" s="70"/>
      <c r="R86" s="860" t="s">
        <v>173</v>
      </c>
      <c r="S86" s="860"/>
      <c r="T86" s="860"/>
      <c r="U86" s="253"/>
      <c r="V86" s="203">
        <f>G86</f>
        <v>0</v>
      </c>
      <c r="W86" s="239" t="s">
        <v>81</v>
      </c>
      <c r="X86" s="176">
        <f>X56</f>
        <v>4.8199999999999996E-3</v>
      </c>
      <c r="Y86" s="266">
        <f t="shared" si="12"/>
        <v>0</v>
      </c>
    </row>
    <row r="87" spans="1:26" ht="18" customHeight="1" x14ac:dyDescent="0.25">
      <c r="A87" s="896" t="s">
        <v>105</v>
      </c>
      <c r="B87" s="896"/>
      <c r="C87" s="896"/>
      <c r="D87" s="896"/>
      <c r="E87" s="896"/>
      <c r="F87" s="248" t="s">
        <v>84</v>
      </c>
      <c r="G87" s="139">
        <v>0</v>
      </c>
      <c r="H87" s="223" t="s">
        <v>81</v>
      </c>
      <c r="I87" s="41">
        <f>I54</f>
        <v>4.8729999999999997E-3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525.83860000000004</v>
      </c>
      <c r="C90" s="245"/>
      <c r="D90" s="867">
        <f>I6</f>
        <v>1.0355000000000001</v>
      </c>
      <c r="E90" s="867"/>
      <c r="F90" s="867"/>
      <c r="G90" s="122">
        <f>'[1]Detail 2025-26 FEFP Second'!AB3</f>
        <v>958.42</v>
      </c>
      <c r="H90" s="47" t="s">
        <v>68</v>
      </c>
      <c r="I90" s="727">
        <f>ROUND(B90*D90*G90,2)</f>
        <v>521865.32</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578.13060000000007</v>
      </c>
      <c r="C91" s="245"/>
      <c r="D91" s="867">
        <f>I6</f>
        <v>1.0355000000000001</v>
      </c>
      <c r="E91" s="867"/>
      <c r="F91" s="867"/>
      <c r="G91" s="122">
        <f>'[1]Detail 2025-26 FEFP Second'!AC3</f>
        <v>915.09</v>
      </c>
      <c r="H91" s="47" t="s">
        <v>68</v>
      </c>
      <c r="I91" s="727">
        <f>ROUND(B91*D91*G91,2)</f>
        <v>547822.51</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1103.9692</v>
      </c>
      <c r="C93" s="109"/>
      <c r="D93" s="109"/>
      <c r="E93" s="937" t="s">
        <v>112</v>
      </c>
      <c r="F93" s="937"/>
      <c r="G93" s="937"/>
      <c r="H93" s="937"/>
      <c r="I93" s="937"/>
      <c r="J93" s="127">
        <f>IF(A1=75,0,I92+I91+I90)</f>
        <v>1069687.83</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90</v>
      </c>
      <c r="D97" s="279">
        <v>101</v>
      </c>
      <c r="E97" s="989">
        <f>(C97+D97)/2</f>
        <v>95.5</v>
      </c>
      <c r="F97" s="940"/>
      <c r="G97" s="940"/>
      <c r="H97" s="224" t="s">
        <v>117</v>
      </c>
      <c r="I97" s="130">
        <f>IF(A1&gt;67,0,INDEX('[1]Transportation Per Student'!F$1:F$65536,MATCH(A1,'[1]Transportation Per Student'!B$1:B$65536)))</f>
        <v>617</v>
      </c>
      <c r="J97" s="138">
        <f>ROUND(I97*E97,2)</f>
        <v>58923.5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9211450.459999999</v>
      </c>
      <c r="L107" s="576"/>
      <c r="R107" s="860" t="s">
        <v>125</v>
      </c>
      <c r="S107" s="860"/>
      <c r="T107" s="860"/>
      <c r="U107" s="860"/>
      <c r="V107" s="860"/>
      <c r="W107" s="860"/>
      <c r="X107" s="860"/>
      <c r="Y107" s="219">
        <f>SUM(Y106,Y105,Y97,Y96,Y93,Y86,Y85,Y84,Y70,Y69,Y67,Y33,Y71,Y50,Y87,Y83)</f>
        <v>1295694.46</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8769523.9499999993</v>
      </c>
      <c r="R109" s="170" t="s">
        <v>180</v>
      </c>
      <c r="S109" s="170"/>
      <c r="T109" s="170"/>
      <c r="U109" s="170"/>
      <c r="V109" s="170"/>
      <c r="W109" s="170"/>
      <c r="X109" s="170"/>
      <c r="Y109" s="220">
        <f>Y107-Y38</f>
        <v>1295694.46</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1295694.46</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602"/>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t="s">
        <v>436</v>
      </c>
      <c r="I114" s="710">
        <f>IF(I111=1,J111,J109)</f>
        <v>8769523.9499999993</v>
      </c>
      <c r="J114" s="711">
        <f>ROUND(IF(E28=0,0,IF(E28&gt;250,-(((250/E28)*I114)*IF(H114="H",0.02,0.05)),IF(H114="H",-0.02*I114,-0.05*I114))),2)</f>
        <v>-41792.28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9169658.1799999997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Payments'!R86</f>
        <v>-4574311.79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4595346.3899999997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765891.07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133598.20000000001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abSelected="1"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590</v>
      </c>
      <c r="B2" s="102"/>
      <c r="C2" s="102"/>
      <c r="D2" s="102"/>
      <c r="E2" s="100"/>
      <c r="F2" s="100"/>
      <c r="G2" s="100"/>
      <c r="H2" s="100"/>
      <c r="I2" s="100"/>
      <c r="J2" s="100"/>
      <c r="K2" s="6"/>
      <c r="L2" s="6"/>
      <c r="M2" s="6"/>
      <c r="N2" s="6"/>
      <c r="O2" s="6"/>
      <c r="P2" s="6"/>
      <c r="Q2" s="6"/>
      <c r="R2" s="873" t="str">
        <f>Revenue_Estimate_Worksheet_for___________Charter_School</f>
        <v>Revenue Estimate Worksheet: Glades Academy - 3382</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Second'!$C$1:$C$65536,MATCH('3382'!$A$1,'[1]Detail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40.869999999999997</v>
      </c>
      <c r="D12" s="411">
        <v>39.49</v>
      </c>
      <c r="E12" s="979">
        <f t="shared" ref="E12:E27" si="0">IF($D$28=0,C12*2,C12+D12)</f>
        <v>80.36</v>
      </c>
      <c r="F12" s="979"/>
      <c r="G12" s="980">
        <v>1.1080000000000001</v>
      </c>
      <c r="H12" s="980"/>
      <c r="I12" s="578">
        <f>ROUND(E12*G12,4)</f>
        <v>89.038899999999998</v>
      </c>
      <c r="J12" s="579">
        <f t="shared" ref="J12:J27" si="1">ROUND(ROUND(ROUND(I12*$E$6,4)*($I$6),2)*(MAX($I$7,1)),2)</f>
        <v>495352.54</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7.5</v>
      </c>
      <c r="D13" s="415">
        <v>7.5</v>
      </c>
      <c r="E13" s="965">
        <f t="shared" si="0"/>
        <v>15</v>
      </c>
      <c r="F13" s="965"/>
      <c r="G13" s="966">
        <v>1.1080000000000001</v>
      </c>
      <c r="H13" s="966"/>
      <c r="I13" s="578">
        <f t="shared" ref="I13:I27" si="2">ROUND(E13*G13,4)</f>
        <v>16.62</v>
      </c>
      <c r="J13" s="579">
        <f t="shared" si="1"/>
        <v>92462.5</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65.64</v>
      </c>
      <c r="D14" s="415">
        <v>63.8</v>
      </c>
      <c r="E14" s="965">
        <f t="shared" si="0"/>
        <v>129.44</v>
      </c>
      <c r="F14" s="965"/>
      <c r="G14" s="966">
        <v>1</v>
      </c>
      <c r="H14" s="966"/>
      <c r="I14" s="578">
        <f t="shared" si="2"/>
        <v>129.44</v>
      </c>
      <c r="J14" s="579">
        <f>ROUND(ROUND(ROUND(I14*$E$6,4)*($I$6),2)*(MAX($I$7,1)),2)</f>
        <v>720117.09</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16.010000000000002</v>
      </c>
      <c r="D15" s="415">
        <v>16</v>
      </c>
      <c r="E15" s="965">
        <f t="shared" si="0"/>
        <v>32.010000000000005</v>
      </c>
      <c r="F15" s="965"/>
      <c r="G15" s="966">
        <v>1</v>
      </c>
      <c r="H15" s="966"/>
      <c r="I15" s="578">
        <f t="shared" si="2"/>
        <v>32.01</v>
      </c>
      <c r="J15" s="579">
        <f t="shared" si="1"/>
        <v>178082.11</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0.5</v>
      </c>
      <c r="D18" s="415">
        <v>0.5</v>
      </c>
      <c r="E18" s="965">
        <f t="shared" si="0"/>
        <v>1</v>
      </c>
      <c r="F18" s="965"/>
      <c r="G18" s="966">
        <v>3.609</v>
      </c>
      <c r="H18" s="966"/>
      <c r="I18" s="578">
        <f t="shared" si="2"/>
        <v>3.609</v>
      </c>
      <c r="J18" s="579">
        <f t="shared" si="1"/>
        <v>20078.05</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4.07</v>
      </c>
      <c r="D24" s="415">
        <v>3.72</v>
      </c>
      <c r="E24" s="965">
        <f t="shared" si="0"/>
        <v>7.7900000000000009</v>
      </c>
      <c r="F24" s="965"/>
      <c r="G24" s="966">
        <v>1.165</v>
      </c>
      <c r="H24" s="966"/>
      <c r="I24" s="578">
        <f t="shared" si="2"/>
        <v>9.0754000000000001</v>
      </c>
      <c r="J24" s="579">
        <f t="shared" si="1"/>
        <v>50489.42</v>
      </c>
      <c r="M24" s="2"/>
      <c r="R24" s="858" t="s">
        <v>32</v>
      </c>
      <c r="S24" s="858"/>
      <c r="T24" s="889">
        <f t="shared" si="3"/>
        <v>0</v>
      </c>
      <c r="U24" s="889"/>
      <c r="V24" s="894">
        <v>1</v>
      </c>
      <c r="W24" s="894"/>
      <c r="X24" s="156">
        <f t="shared" si="4"/>
        <v>0</v>
      </c>
      <c r="Y24" s="266">
        <f t="shared" si="6"/>
        <v>0</v>
      </c>
    </row>
    <row r="25" spans="1:25" x14ac:dyDescent="0.25">
      <c r="A25" s="859" t="s">
        <v>33</v>
      </c>
      <c r="B25" s="859"/>
      <c r="C25" s="415">
        <v>0.87</v>
      </c>
      <c r="D25" s="415">
        <v>0.8</v>
      </c>
      <c r="E25" s="965">
        <f t="shared" si="0"/>
        <v>1.67</v>
      </c>
      <c r="F25" s="965"/>
      <c r="G25" s="966">
        <v>1.165</v>
      </c>
      <c r="H25" s="966"/>
      <c r="I25" s="578">
        <f t="shared" si="2"/>
        <v>1.9456</v>
      </c>
      <c r="J25" s="579">
        <f t="shared" si="1"/>
        <v>10824.01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135.45999999999998</v>
      </c>
      <c r="D28" s="126">
        <f>SUM(D12:D27)</f>
        <v>131.81</v>
      </c>
      <c r="E28" s="964">
        <f>SUM(E12:E27)</f>
        <v>267.27000000000004</v>
      </c>
      <c r="F28" s="964"/>
      <c r="G28" s="959"/>
      <c r="H28" s="959"/>
      <c r="I28" s="23">
        <f>SUM(I12:I27)</f>
        <v>281.7389</v>
      </c>
      <c r="J28" s="127">
        <f>SUM(J12:J27)</f>
        <v>1567405.7199999997</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281.7389</v>
      </c>
      <c r="H33" s="959" t="s">
        <v>45</v>
      </c>
      <c r="I33" s="959"/>
      <c r="J33" s="32">
        <f>SUM(J32,J28)</f>
        <v>1567405.7199999997</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1589443.16</v>
      </c>
      <c r="H36" s="223" t="s">
        <v>49</v>
      </c>
      <c r="I36" s="38">
        <v>6.6699999999999995E-2</v>
      </c>
      <c r="J36" s="131">
        <f>ROUND(G36*I36,2)</f>
        <v>106015.86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1589443.16</v>
      </c>
      <c r="H37" s="223" t="s">
        <v>49</v>
      </c>
      <c r="I37" s="38">
        <v>5.4000000000000003E-3</v>
      </c>
      <c r="J37" s="131">
        <f>ROUND(G37*I37,2)</f>
        <v>8582.99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114598.85</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5.5</v>
      </c>
      <c r="D41" s="415">
        <v>5.5</v>
      </c>
      <c r="E41" s="952">
        <f t="shared" ref="E41:E49" si="7">IF($D$50=0,C41*2,C41+D41)</f>
        <v>11</v>
      </c>
      <c r="F41" s="952"/>
      <c r="G41" s="223" t="s">
        <v>59</v>
      </c>
      <c r="H41" s="223">
        <v>251</v>
      </c>
      <c r="I41" s="136">
        <f>INDEX('[1]111-112-113 ADDITIONAL FUND'!D$1:D$65536,MATCH($A$1,'[1]111-112-113 ADDITIONAL FUND'!A$1:A$65536))</f>
        <v>1047</v>
      </c>
      <c r="J41" s="727">
        <f t="shared" ref="J41:J49" si="8">ROUND(E41*I41,2)</f>
        <v>11517</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1</v>
      </c>
      <c r="D42" s="415">
        <v>1</v>
      </c>
      <c r="E42" s="952">
        <f t="shared" si="7"/>
        <v>2</v>
      </c>
      <c r="F42" s="952"/>
      <c r="G42" s="223" t="s">
        <v>59</v>
      </c>
      <c r="H42" s="223">
        <v>252</v>
      </c>
      <c r="I42" s="136">
        <f>INDEX('[1]111-112-113 ADDITIONAL FUND'!E$1:E$65536,MATCH($A$1,'[1]111-112-113 ADDITIONAL FUND'!A$1:A$65536))</f>
        <v>3380</v>
      </c>
      <c r="J42" s="727">
        <f t="shared" si="8"/>
        <v>6760</v>
      </c>
      <c r="M42" s="2"/>
      <c r="R42" s="901"/>
      <c r="S42" s="901"/>
      <c r="T42" s="902"/>
      <c r="U42" s="902"/>
      <c r="V42" s="239" t="s">
        <v>59</v>
      </c>
      <c r="W42" s="239">
        <v>252</v>
      </c>
      <c r="X42" s="134">
        <f t="shared" si="9"/>
        <v>3380</v>
      </c>
      <c r="Y42" s="269">
        <f t="shared" ref="Y42:Y49" si="10">ROUND(T42*X42,2)</f>
        <v>0</v>
      </c>
    </row>
    <row r="43" spans="1:25" x14ac:dyDescent="0.25">
      <c r="A43" s="958"/>
      <c r="B43" s="958"/>
      <c r="C43" s="415">
        <v>1</v>
      </c>
      <c r="D43" s="415">
        <v>1</v>
      </c>
      <c r="E43" s="952">
        <f t="shared" si="7"/>
        <v>2</v>
      </c>
      <c r="F43" s="952"/>
      <c r="G43" s="223" t="s">
        <v>59</v>
      </c>
      <c r="H43" s="223">
        <v>253</v>
      </c>
      <c r="I43" s="136">
        <f>INDEX('[1]111-112-113 ADDITIONAL FUND'!F$1:F$65536,MATCH($A$1,'[1]111-112-113 ADDITIONAL FUND'!A$1:A$65536))</f>
        <v>6896</v>
      </c>
      <c r="J43" s="727">
        <f t="shared" si="8"/>
        <v>13792</v>
      </c>
      <c r="M43" s="2"/>
      <c r="R43" s="901"/>
      <c r="S43" s="901"/>
      <c r="T43" s="903"/>
      <c r="U43" s="903"/>
      <c r="V43" s="239" t="s">
        <v>59</v>
      </c>
      <c r="W43" s="239">
        <v>253</v>
      </c>
      <c r="X43" s="134">
        <f t="shared" si="9"/>
        <v>6896</v>
      </c>
      <c r="Y43" s="269">
        <f t="shared" si="10"/>
        <v>0</v>
      </c>
    </row>
    <row r="44" spans="1:25" ht="20.25" customHeight="1" x14ac:dyDescent="0.25">
      <c r="A44" s="958"/>
      <c r="B44" s="958"/>
      <c r="C44" s="415">
        <v>15.01</v>
      </c>
      <c r="D44" s="415">
        <v>15</v>
      </c>
      <c r="E44" s="952">
        <f t="shared" si="7"/>
        <v>30.009999999999998</v>
      </c>
      <c r="F44" s="952"/>
      <c r="G44" s="47" t="s">
        <v>60</v>
      </c>
      <c r="H44" s="223">
        <v>251</v>
      </c>
      <c r="I44" s="136">
        <f>INDEX('[1]111-112-113 ADDITIONAL FUND'!G$1:G$65536,MATCH($A$1,'[1]111-112-113 ADDITIONAL FUND'!A$1:A$65536))</f>
        <v>1173</v>
      </c>
      <c r="J44" s="137">
        <f t="shared" si="8"/>
        <v>35201.730000000003</v>
      </c>
      <c r="L44" s="3"/>
      <c r="M44" s="2"/>
      <c r="Q44" s="4"/>
      <c r="R44" s="901"/>
      <c r="S44" s="901"/>
      <c r="T44" s="903"/>
      <c r="U44" s="903"/>
      <c r="V44" s="182" t="s">
        <v>60</v>
      </c>
      <c r="W44" s="239">
        <v>251</v>
      </c>
      <c r="X44" s="134">
        <f t="shared" si="9"/>
        <v>1173</v>
      </c>
      <c r="Y44" s="269">
        <f t="shared" si="10"/>
        <v>0</v>
      </c>
    </row>
    <row r="45" spans="1:25" x14ac:dyDescent="0.25">
      <c r="A45" s="958"/>
      <c r="B45" s="958"/>
      <c r="C45" s="415">
        <v>1</v>
      </c>
      <c r="D45" s="415">
        <v>1</v>
      </c>
      <c r="E45" s="952">
        <f t="shared" si="7"/>
        <v>2</v>
      </c>
      <c r="F45" s="952"/>
      <c r="G45" s="47" t="s">
        <v>60</v>
      </c>
      <c r="H45" s="223">
        <v>252</v>
      </c>
      <c r="I45" s="136">
        <f>INDEX('[1]111-112-113 ADDITIONAL FUND'!H$1:H$65536,MATCH($A$1,'[1]111-112-113 ADDITIONAL FUND'!A$1:A$65536))</f>
        <v>3506</v>
      </c>
      <c r="J45" s="727">
        <f t="shared" si="8"/>
        <v>7012</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23.509999999999998</v>
      </c>
      <c r="D50" s="585">
        <f>SUM(D41:D49)</f>
        <v>23.5</v>
      </c>
      <c r="E50" s="954">
        <f>SUM(E41:E49)</f>
        <v>47.01</v>
      </c>
      <c r="F50" s="954"/>
      <c r="G50" s="910" t="s">
        <v>63</v>
      </c>
      <c r="H50" s="910"/>
      <c r="I50" s="910"/>
      <c r="J50" s="276">
        <f>SUM(J41:J49)</f>
        <v>74282.73000000001</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267.27000000000004</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1.2409999999999999E-3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281.7389</v>
      </c>
      <c r="U55" s="184" t="s">
        <v>66</v>
      </c>
      <c r="V55" s="185"/>
      <c r="W55" s="186" t="s">
        <v>71</v>
      </c>
      <c r="X55" s="917">
        <f>I56</f>
        <v>229051.25000000003</v>
      </c>
      <c r="Y55" s="917"/>
    </row>
    <row r="56" spans="1:25" ht="16.5" customHeight="1" x14ac:dyDescent="0.25">
      <c r="A56" s="897" t="s">
        <v>70</v>
      </c>
      <c r="B56" s="897"/>
      <c r="C56" s="237"/>
      <c r="D56" s="237"/>
      <c r="E56" s="48">
        <f>G33</f>
        <v>281.7389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1.23E-3</v>
      </c>
      <c r="Y56" s="918"/>
    </row>
    <row r="57" spans="1:25" ht="18.75" customHeight="1" x14ac:dyDescent="0.25">
      <c r="A57" s="237"/>
      <c r="H57" s="53" t="s">
        <v>68</v>
      </c>
      <c r="I57" s="943">
        <f>IFERROR(ROUND(E56/I56,6),0)</f>
        <v>1.23E-3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267.27000000000004</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1.436E-3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267.27000000000004</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1.243E-3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267.27000000000004</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1.438E-3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1.243E-3</v>
      </c>
      <c r="J68" s="138">
        <f>ROUND(G68*I68,2)</f>
        <v>58782.400000000001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1.2409999999999999E-3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1.438E-3</v>
      </c>
      <c r="J71" s="138">
        <f>ROUND(G71*I71,2)</f>
        <v>27563.41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1.436E-3</v>
      </c>
      <c r="J72" s="138">
        <f>ROUND(G72*I72,2)</f>
        <v>16581.330000000002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1.23E-3</v>
      </c>
      <c r="J85" s="138">
        <f>ROUND(G85*I85,2)</f>
        <v>330644.02</v>
      </c>
      <c r="K85" s="70"/>
      <c r="L85" s="70"/>
      <c r="M85" s="71"/>
      <c r="N85" s="70"/>
      <c r="O85" s="70"/>
      <c r="P85" s="70"/>
      <c r="Q85" s="70"/>
      <c r="R85" s="860" t="s">
        <v>172</v>
      </c>
      <c r="S85" s="860"/>
      <c r="T85" s="860"/>
      <c r="U85" s="253"/>
      <c r="V85" s="171">
        <f>G85</f>
        <v>268816278</v>
      </c>
      <c r="W85" s="239" t="s">
        <v>81</v>
      </c>
      <c r="X85" s="176">
        <f>X56</f>
        <v>1.23E-3</v>
      </c>
      <c r="Y85" s="266">
        <f t="shared" ref="Y85:Y87" si="12">ROUND(V85*X85,2)</f>
        <v>330644.02</v>
      </c>
    </row>
    <row r="86" spans="1:26" ht="14.25" customHeight="1" x14ac:dyDescent="0.25">
      <c r="A86" s="896" t="s">
        <v>104</v>
      </c>
      <c r="B86" s="896"/>
      <c r="C86" s="896"/>
      <c r="D86" s="896"/>
      <c r="E86" s="896"/>
      <c r="F86" s="248" t="s">
        <v>103</v>
      </c>
      <c r="G86" s="139">
        <v>0</v>
      </c>
      <c r="H86" s="223" t="s">
        <v>81</v>
      </c>
      <c r="I86" s="41">
        <f>I57</f>
        <v>1.23E-3</v>
      </c>
      <c r="J86" s="138">
        <f>ROUND(G86*I86,2)</f>
        <v>0</v>
      </c>
      <c r="K86" s="70"/>
      <c r="L86" s="71"/>
      <c r="M86" s="76"/>
      <c r="N86" s="76"/>
      <c r="O86" s="76"/>
      <c r="P86" s="76"/>
      <c r="Q86" s="70"/>
      <c r="R86" s="860" t="s">
        <v>173</v>
      </c>
      <c r="S86" s="860"/>
      <c r="T86" s="860"/>
      <c r="U86" s="253"/>
      <c r="V86" s="203">
        <f>G86</f>
        <v>0</v>
      </c>
      <c r="W86" s="239" t="s">
        <v>81</v>
      </c>
      <c r="X86" s="176">
        <f>X56</f>
        <v>1.23E-3</v>
      </c>
      <c r="Y86" s="266">
        <f t="shared" si="12"/>
        <v>0</v>
      </c>
    </row>
    <row r="87" spans="1:26" ht="18" customHeight="1" x14ac:dyDescent="0.25">
      <c r="A87" s="896" t="s">
        <v>105</v>
      </c>
      <c r="B87" s="896"/>
      <c r="C87" s="896"/>
      <c r="D87" s="896"/>
      <c r="E87" s="896"/>
      <c r="F87" s="248" t="s">
        <v>84</v>
      </c>
      <c r="G87" s="139">
        <v>0</v>
      </c>
      <c r="H87" s="223" t="s">
        <v>81</v>
      </c>
      <c r="I87" s="41">
        <f>I54</f>
        <v>1.2409999999999999E-3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118.3433</v>
      </c>
      <c r="C90" s="245"/>
      <c r="D90" s="867">
        <f>I6</f>
        <v>1.0355000000000001</v>
      </c>
      <c r="E90" s="867"/>
      <c r="F90" s="867"/>
      <c r="G90" s="122">
        <f>'[1]Detail 2025-26 FEFP Second'!AB3</f>
        <v>958.42</v>
      </c>
      <c r="H90" s="47" t="s">
        <v>68</v>
      </c>
      <c r="I90" s="727">
        <f>ROUND(B90*D90*G90,2)</f>
        <v>117449.09</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163.3956</v>
      </c>
      <c r="C91" s="245"/>
      <c r="D91" s="867">
        <f>I6</f>
        <v>1.0355000000000001</v>
      </c>
      <c r="E91" s="867"/>
      <c r="F91" s="867"/>
      <c r="G91" s="122">
        <f>'[1]Detail 2025-26 FEFP Second'!AC3</f>
        <v>915.09</v>
      </c>
      <c r="H91" s="47" t="s">
        <v>68</v>
      </c>
      <c r="I91" s="727">
        <f>ROUND(B91*D91*G91,2)</f>
        <v>154829.70000000001</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281.7389</v>
      </c>
      <c r="C93" s="109"/>
      <c r="D93" s="109"/>
      <c r="E93" s="937" t="s">
        <v>112</v>
      </c>
      <c r="F93" s="937"/>
      <c r="G93" s="937"/>
      <c r="H93" s="937"/>
      <c r="I93" s="937"/>
      <c r="J93" s="127">
        <f>IF(A1=75,0,I92+I91+I90)</f>
        <v>272278.79000000004</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263</v>
      </c>
      <c r="D97" s="279">
        <v>254</v>
      </c>
      <c r="E97" s="989">
        <f>(C97+D97)/2</f>
        <v>258.5</v>
      </c>
      <c r="F97" s="940"/>
      <c r="G97" s="940"/>
      <c r="H97" s="224" t="s">
        <v>117</v>
      </c>
      <c r="I97" s="130">
        <f>IF(A1&gt;67,0,INDEX('[1]Transportation Per Student'!F$1:F$65536,MATCH(A1,'[1]Transportation Per Student'!B$1:B$65536)))</f>
        <v>617</v>
      </c>
      <c r="J97" s="138">
        <f>ROUND(I97*E97,2)</f>
        <v>159494.5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2507032.9</v>
      </c>
      <c r="L107" s="576"/>
      <c r="R107" s="860" t="s">
        <v>125</v>
      </c>
      <c r="S107" s="860"/>
      <c r="T107" s="860"/>
      <c r="U107" s="860"/>
      <c r="V107" s="860"/>
      <c r="W107" s="860"/>
      <c r="X107" s="860"/>
      <c r="Y107" s="219">
        <f>SUM(Y106,Y105,Y97,Y96,Y93,Y86,Y85,Y84,Y70,Y69,Y67,Y33,Y71,Y50,Y87,Y83)</f>
        <v>330644.02</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2392434.0499999998</v>
      </c>
      <c r="R109" s="170" t="s">
        <v>180</v>
      </c>
      <c r="S109" s="170"/>
      <c r="T109" s="170"/>
      <c r="U109" s="170"/>
      <c r="V109" s="170"/>
      <c r="W109" s="170"/>
      <c r="X109" s="170"/>
      <c r="Y109" s="220">
        <f>Y107-Y38</f>
        <v>330644.02</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330644.02</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c r="I114" s="710">
        <f>IF(I111=1,J111,J109)</f>
        <v>2392434.0499999998</v>
      </c>
      <c r="J114" s="711">
        <f>ROUND(IF(E28=0,0,IF(E28&gt;250,-(((250/E28)*I114)*IF(H114="H",0.02,0.05)),IF(H114="H",-0.02*I114,-0.05*I114))),2)</f>
        <v>-111892.19</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2395140.71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Payments'!R87</f>
        <v>-1201378.1900000002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1193762.5199999998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198960.42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7729.51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topLeftCell="A8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449</v>
      </c>
      <c r="B2" s="102"/>
      <c r="C2" s="102"/>
      <c r="D2" s="102"/>
      <c r="E2" s="100"/>
      <c r="F2" s="100"/>
      <c r="G2" s="100"/>
      <c r="H2" s="100"/>
      <c r="I2" s="100"/>
      <c r="J2" s="100"/>
      <c r="K2" s="6"/>
      <c r="L2" s="6"/>
      <c r="M2" s="6"/>
      <c r="N2" s="6"/>
      <c r="O2" s="6"/>
      <c r="P2" s="6"/>
      <c r="Q2" s="6"/>
      <c r="R2" s="873" t="str">
        <f>Revenue_Estimate_Worksheet_for___________Charter_School</f>
        <v>Revenue Estimate Worksheet: Seagull Academy for Independent Living - 3391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Second'!$C$1:$C$65536,MATCH('3391'!$A$1,'[1]Detail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0</v>
      </c>
      <c r="D28" s="126">
        <f>SUM(D12:D27)</f>
        <v>0</v>
      </c>
      <c r="E28" s="964">
        <f>SUM(E12:E27)</f>
        <v>0</v>
      </c>
      <c r="F28" s="964"/>
      <c r="G28" s="959"/>
      <c r="H28" s="959"/>
      <c r="I28" s="23">
        <f>SUM(I12:I27)</f>
        <v>0</v>
      </c>
      <c r="J28" s="127">
        <f>SUM(J12:J27)</f>
        <v>0</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0</v>
      </c>
      <c r="H33" s="959" t="s">
        <v>45</v>
      </c>
      <c r="I33" s="959"/>
      <c r="J33" s="32">
        <f>SUM(J32,J28)</f>
        <v>0</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0</v>
      </c>
      <c r="H36" s="223" t="s">
        <v>49</v>
      </c>
      <c r="I36" s="38">
        <v>6.6699999999999995E-2</v>
      </c>
      <c r="J36" s="131">
        <f>ROUND(G36*I36,2)</f>
        <v>0</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0</v>
      </c>
      <c r="H37" s="223" t="s">
        <v>49</v>
      </c>
      <c r="I37" s="38">
        <v>5.4000000000000003E-3</v>
      </c>
      <c r="J37" s="131">
        <f>ROUND(G37*I37,2)</f>
        <v>0</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0</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0</v>
      </c>
      <c r="D50" s="585">
        <f>SUM(D41:D49)</f>
        <v>0</v>
      </c>
      <c r="E50" s="954">
        <f>SUM(E41:E49)</f>
        <v>0</v>
      </c>
      <c r="F50" s="954"/>
      <c r="G50" s="910" t="s">
        <v>63</v>
      </c>
      <c r="H50" s="910"/>
      <c r="I50" s="910"/>
      <c r="J50" s="276">
        <f>SUM(J41:J49)</f>
        <v>0</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0</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0</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0</v>
      </c>
      <c r="U55" s="184" t="s">
        <v>66</v>
      </c>
      <c r="V55" s="185"/>
      <c r="W55" s="186" t="s">
        <v>71</v>
      </c>
      <c r="X55" s="917">
        <f>I56</f>
        <v>229051.25000000003</v>
      </c>
      <c r="Y55" s="917"/>
    </row>
    <row r="56" spans="1:25" ht="16.5" customHeight="1" x14ac:dyDescent="0.25">
      <c r="A56" s="897" t="s">
        <v>70</v>
      </c>
      <c r="B56" s="897"/>
      <c r="C56" s="237"/>
      <c r="D56" s="237"/>
      <c r="E56" s="48">
        <f>G33</f>
        <v>0</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0</v>
      </c>
      <c r="Y56" s="918"/>
    </row>
    <row r="57" spans="1:25" ht="18.75" customHeight="1" x14ac:dyDescent="0.25">
      <c r="A57" s="237"/>
      <c r="H57" s="53" t="s">
        <v>68</v>
      </c>
      <c r="I57" s="943">
        <f>IFERROR(ROUND(E56/I56,6),0)</f>
        <v>0</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0</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0</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0</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0</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0</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0</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0</v>
      </c>
      <c r="J68" s="138">
        <f>ROUND(G68*I68,2)</f>
        <v>0</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0</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60" t="s">
        <v>172</v>
      </c>
      <c r="S85" s="860"/>
      <c r="T85" s="860"/>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0</v>
      </c>
      <c r="J86" s="138">
        <f>ROUND(G86*I86,2)</f>
        <v>0</v>
      </c>
      <c r="K86" s="70"/>
      <c r="L86" s="71"/>
      <c r="M86" s="76"/>
      <c r="N86" s="76"/>
      <c r="O86" s="76"/>
      <c r="P86" s="76"/>
      <c r="Q86" s="70"/>
      <c r="R86" s="860" t="s">
        <v>173</v>
      </c>
      <c r="S86" s="860"/>
      <c r="T86" s="860"/>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0</v>
      </c>
      <c r="C93" s="109"/>
      <c r="D93" s="109"/>
      <c r="E93" s="937" t="s">
        <v>112</v>
      </c>
      <c r="F93" s="937"/>
      <c r="G93" s="937"/>
      <c r="H93" s="937"/>
      <c r="I93" s="937"/>
      <c r="J93" s="127">
        <f>IF(A1=75,0,I92+I91+I90)</f>
        <v>0</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0</v>
      </c>
      <c r="L107" s="576"/>
      <c r="R107" s="860" t="s">
        <v>125</v>
      </c>
      <c r="S107" s="860"/>
      <c r="T107" s="860"/>
      <c r="U107" s="860"/>
      <c r="V107" s="860"/>
      <c r="W107" s="860"/>
      <c r="X107" s="860"/>
      <c r="Y107" s="219">
        <f>SUM(Y106,Y105,Y97,Y96,Y93,Y86,Y85,Y84,Y70,Y69,Y67,Y33,Y71,Y50,Y87,Y83)</f>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0</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76" workbookViewId="0">
      <selection activeCell="L46" sqref="L4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450</v>
      </c>
      <c r="B2" s="102"/>
      <c r="C2" s="102"/>
      <c r="D2" s="102"/>
      <c r="E2" s="100"/>
      <c r="F2" s="100"/>
      <c r="G2" s="100"/>
      <c r="H2" s="100"/>
      <c r="I2" s="100"/>
      <c r="J2" s="100"/>
      <c r="K2" s="6"/>
      <c r="L2" s="6"/>
      <c r="M2" s="6"/>
      <c r="N2" s="6"/>
      <c r="O2" s="6"/>
      <c r="P2" s="6"/>
      <c r="Q2" s="6"/>
      <c r="R2" s="873" t="str">
        <f>Revenue_Estimate_Worksheet_for___________Charter_School</f>
        <v>Revenue Estimate Worksheet: Montessori Academy of Early Enrichment - 3394</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Second'!$C$1:$C$65536,MATCH('3394'!$A$1,'[1]Detail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40.119999999999997</v>
      </c>
      <c r="D12" s="411">
        <v>40.08</v>
      </c>
      <c r="E12" s="979">
        <f t="shared" ref="E12:E27" si="0">IF($D$28=0,C12*2,C12+D12)</f>
        <v>80.199999999999989</v>
      </c>
      <c r="F12" s="979"/>
      <c r="G12" s="980">
        <v>1.1080000000000001</v>
      </c>
      <c r="H12" s="980"/>
      <c r="I12" s="578">
        <f>ROUND(E12*G12,4)</f>
        <v>88.861599999999996</v>
      </c>
      <c r="J12" s="579">
        <f t="shared" ref="J12:J27" si="1">ROUND(ROUND(ROUND(I12*$E$6,4)*($I$6),2)*(MAX($I$7,1)),2)</f>
        <v>494366.17</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5</v>
      </c>
      <c r="D13" s="415">
        <v>5</v>
      </c>
      <c r="E13" s="965">
        <f t="shared" si="0"/>
        <v>10</v>
      </c>
      <c r="F13" s="965"/>
      <c r="G13" s="966">
        <v>1.1080000000000001</v>
      </c>
      <c r="H13" s="966"/>
      <c r="I13" s="578">
        <f t="shared" ref="I13:I27" si="2">ROUND(E13*G13,4)</f>
        <v>11.08</v>
      </c>
      <c r="J13" s="579">
        <f t="shared" si="1"/>
        <v>61641.67</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17</v>
      </c>
      <c r="D14" s="415">
        <v>18.45</v>
      </c>
      <c r="E14" s="965">
        <f t="shared" si="0"/>
        <v>35.450000000000003</v>
      </c>
      <c r="F14" s="965"/>
      <c r="G14" s="966">
        <v>1</v>
      </c>
      <c r="H14" s="966"/>
      <c r="I14" s="578">
        <f t="shared" si="2"/>
        <v>35.450000000000003</v>
      </c>
      <c r="J14" s="579">
        <f>ROUND(ROUND(ROUND(I14*$E$6,4)*($I$6),2)*(MAX($I$7,1)),2)</f>
        <v>197219.95</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2.4900000000000002</v>
      </c>
      <c r="D15" s="415">
        <v>1.01</v>
      </c>
      <c r="E15" s="965">
        <f t="shared" si="0"/>
        <v>3.5</v>
      </c>
      <c r="F15" s="965"/>
      <c r="G15" s="966">
        <v>1</v>
      </c>
      <c r="H15" s="966"/>
      <c r="I15" s="578">
        <f t="shared" si="2"/>
        <v>3.5</v>
      </c>
      <c r="J15" s="579">
        <f t="shared" si="1"/>
        <v>19471.650000000001</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26.37</v>
      </c>
      <c r="D24" s="415">
        <v>25.61</v>
      </c>
      <c r="E24" s="965">
        <f t="shared" si="0"/>
        <v>51.980000000000004</v>
      </c>
      <c r="F24" s="965"/>
      <c r="G24" s="966">
        <v>1.165</v>
      </c>
      <c r="H24" s="966"/>
      <c r="I24" s="578">
        <f t="shared" si="2"/>
        <v>60.556699999999999</v>
      </c>
      <c r="J24" s="579">
        <f t="shared" si="1"/>
        <v>336896.74</v>
      </c>
      <c r="M24" s="2"/>
      <c r="R24" s="858" t="s">
        <v>32</v>
      </c>
      <c r="S24" s="858"/>
      <c r="T24" s="889">
        <f t="shared" si="3"/>
        <v>0</v>
      </c>
      <c r="U24" s="889"/>
      <c r="V24" s="894">
        <v>1</v>
      </c>
      <c r="W24" s="894"/>
      <c r="X24" s="156">
        <f t="shared" si="4"/>
        <v>0</v>
      </c>
      <c r="Y24" s="266">
        <f t="shared" si="6"/>
        <v>0</v>
      </c>
    </row>
    <row r="25" spans="1:25" x14ac:dyDescent="0.25">
      <c r="A25" s="859" t="s">
        <v>33</v>
      </c>
      <c r="B25" s="859"/>
      <c r="C25" s="415">
        <v>5</v>
      </c>
      <c r="D25" s="415">
        <v>4.8600000000000003</v>
      </c>
      <c r="E25" s="965">
        <f t="shared" si="0"/>
        <v>9.86</v>
      </c>
      <c r="F25" s="965"/>
      <c r="G25" s="966">
        <v>1.165</v>
      </c>
      <c r="H25" s="966"/>
      <c r="I25" s="578">
        <f t="shared" si="2"/>
        <v>11.4869</v>
      </c>
      <c r="J25" s="579">
        <f t="shared" si="1"/>
        <v>63905.38</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95.98</v>
      </c>
      <c r="D28" s="126">
        <f>SUM(D12:D27)</f>
        <v>95.01</v>
      </c>
      <c r="E28" s="964">
        <f>SUM(E12:E27)</f>
        <v>190.99</v>
      </c>
      <c r="F28" s="964"/>
      <c r="G28" s="959"/>
      <c r="H28" s="959"/>
      <c r="I28" s="23">
        <f>SUM(I12:I27)</f>
        <v>210.93519999999998</v>
      </c>
      <c r="J28" s="127">
        <f>SUM(J12:J27)</f>
        <v>1173501.56</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210.93519999999998</v>
      </c>
      <c r="H33" s="959" t="s">
        <v>45</v>
      </c>
      <c r="I33" s="959"/>
      <c r="J33" s="32">
        <f>SUM(J32,J28)</f>
        <v>1173501.56</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1179988.9600000002</v>
      </c>
      <c r="H36" s="223" t="s">
        <v>49</v>
      </c>
      <c r="I36" s="38">
        <v>6.6699999999999995E-2</v>
      </c>
      <c r="J36" s="131">
        <f>ROUND(G36*I36,2)</f>
        <v>78705.259999999995</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1179988.9600000002</v>
      </c>
      <c r="H37" s="223" t="s">
        <v>49</v>
      </c>
      <c r="I37" s="38">
        <v>5.4000000000000003E-3</v>
      </c>
      <c r="J37" s="131">
        <f>ROUND(G37*I37,2)</f>
        <v>6371.94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85077.2</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5</v>
      </c>
      <c r="D41" s="415">
        <v>5</v>
      </c>
      <c r="E41" s="952">
        <f t="shared" ref="E41:E49" si="7">IF($D$50=0,C41*2,C41+D41)</f>
        <v>10</v>
      </c>
      <c r="F41" s="952"/>
      <c r="G41" s="223" t="s">
        <v>59</v>
      </c>
      <c r="H41" s="223">
        <v>251</v>
      </c>
      <c r="I41" s="136">
        <f>INDEX('[1]111-112-113 ADDITIONAL FUND'!D$1:D$65536,MATCH($A$1,'[1]111-112-113 ADDITIONAL FUND'!A$1:A$65536))</f>
        <v>1047</v>
      </c>
      <c r="J41" s="727">
        <f t="shared" ref="J41:J49" si="8">ROUND(E41*I41,2)</f>
        <v>10470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1.99</v>
      </c>
      <c r="D44" s="415">
        <v>0.81</v>
      </c>
      <c r="E44" s="952">
        <f t="shared" si="7"/>
        <v>2.8</v>
      </c>
      <c r="F44" s="952"/>
      <c r="G44" s="47" t="s">
        <v>60</v>
      </c>
      <c r="H44" s="223">
        <v>251</v>
      </c>
      <c r="I44" s="136">
        <f>INDEX('[1]111-112-113 ADDITIONAL FUND'!G$1:G$65536,MATCH($A$1,'[1]111-112-113 ADDITIONAL FUND'!A$1:A$65536))</f>
        <v>1173</v>
      </c>
      <c r="J44" s="727">
        <f t="shared" si="8"/>
        <v>3284.4</v>
      </c>
      <c r="L44" s="3"/>
      <c r="M44" s="2"/>
      <c r="Q44" s="4"/>
      <c r="R44" s="901"/>
      <c r="S44" s="901"/>
      <c r="T44" s="903"/>
      <c r="U44" s="903"/>
      <c r="V44" s="182" t="s">
        <v>60</v>
      </c>
      <c r="W44" s="239">
        <v>251</v>
      </c>
      <c r="X44" s="134">
        <f t="shared" si="9"/>
        <v>1173</v>
      </c>
      <c r="Y44" s="269">
        <f t="shared" si="10"/>
        <v>0</v>
      </c>
    </row>
    <row r="45" spans="1:25" x14ac:dyDescent="0.25">
      <c r="A45" s="958"/>
      <c r="B45" s="958"/>
      <c r="C45" s="415">
        <v>0.5</v>
      </c>
      <c r="D45" s="415">
        <v>0.2</v>
      </c>
      <c r="E45" s="952">
        <f t="shared" si="7"/>
        <v>0.7</v>
      </c>
      <c r="F45" s="952"/>
      <c r="G45" s="47" t="s">
        <v>60</v>
      </c>
      <c r="H45" s="223">
        <v>252</v>
      </c>
      <c r="I45" s="136">
        <f>INDEX('[1]111-112-113 ADDITIONAL FUND'!H$1:H$65536,MATCH($A$1,'[1]111-112-113 ADDITIONAL FUND'!A$1:A$65536))</f>
        <v>3506</v>
      </c>
      <c r="J45" s="727">
        <f t="shared" si="8"/>
        <v>2454.1999999999998</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7.49</v>
      </c>
      <c r="D50" s="585">
        <f>SUM(D41:D49)</f>
        <v>6.0100000000000007</v>
      </c>
      <c r="E50" s="954">
        <f>SUM(E41:E49)</f>
        <v>13.5</v>
      </c>
      <c r="F50" s="954"/>
      <c r="G50" s="910" t="s">
        <v>63</v>
      </c>
      <c r="H50" s="910"/>
      <c r="I50" s="910"/>
      <c r="J50" s="276">
        <f>SUM(J41:J49)</f>
        <v>16208.599999999999</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190.99</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8.8699999999999998E-4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210.93519999999998</v>
      </c>
      <c r="U55" s="184" t="s">
        <v>66</v>
      </c>
      <c r="V55" s="185"/>
      <c r="W55" s="186" t="s">
        <v>71</v>
      </c>
      <c r="X55" s="917">
        <f>I56</f>
        <v>229051.25000000003</v>
      </c>
      <c r="Y55" s="917"/>
    </row>
    <row r="56" spans="1:25" ht="16.5" customHeight="1" x14ac:dyDescent="0.25">
      <c r="A56" s="897" t="s">
        <v>70</v>
      </c>
      <c r="B56" s="897"/>
      <c r="C56" s="237"/>
      <c r="D56" s="237"/>
      <c r="E56" s="48">
        <f>G33</f>
        <v>210.93519999999998</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9.2100000000000005E-4</v>
      </c>
      <c r="Y56" s="918"/>
    </row>
    <row r="57" spans="1:25" ht="18.75" customHeight="1" x14ac:dyDescent="0.25">
      <c r="A57" s="237"/>
      <c r="H57" s="53" t="s">
        <v>68</v>
      </c>
      <c r="I57" s="943">
        <f>IFERROR(ROUND(E56/I56,6),0)</f>
        <v>9.2100000000000005E-4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190.99</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1.026E-3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190.99</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8.8800000000000001E-4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190.99</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1.0280000000000001E-3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8.8800000000000001E-4</v>
      </c>
      <c r="J68" s="138">
        <f>ROUND(G68*I68,2)</f>
        <v>41994.18</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8.8699999999999998E-4</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1.0280000000000001E-3</v>
      </c>
      <c r="J71" s="138">
        <f>ROUND(G71*I71,2)</f>
        <v>19704.580000000002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1.026E-3</v>
      </c>
      <c r="J72" s="138">
        <f>ROUND(G72*I72,2)</f>
        <v>11847.11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9.2100000000000005E-4</v>
      </c>
      <c r="J85" s="138">
        <f>ROUND(G85*I85,2)</f>
        <v>247579.79</v>
      </c>
      <c r="K85" s="70"/>
      <c r="L85" s="70"/>
      <c r="M85" s="71"/>
      <c r="N85" s="70"/>
      <c r="O85" s="70"/>
      <c r="P85" s="70"/>
      <c r="Q85" s="70"/>
      <c r="R85" s="860" t="s">
        <v>172</v>
      </c>
      <c r="S85" s="860"/>
      <c r="T85" s="860"/>
      <c r="U85" s="253"/>
      <c r="V85" s="171">
        <f>G85</f>
        <v>268816278</v>
      </c>
      <c r="W85" s="239" t="s">
        <v>81</v>
      </c>
      <c r="X85" s="176">
        <f>X56</f>
        <v>9.2100000000000005E-4</v>
      </c>
      <c r="Y85" s="266">
        <f t="shared" ref="Y85:Y87" si="12">ROUND(V85*X85,2)</f>
        <v>247579.79</v>
      </c>
    </row>
    <row r="86" spans="1:26" ht="14.25" customHeight="1" x14ac:dyDescent="0.25">
      <c r="A86" s="896" t="s">
        <v>104</v>
      </c>
      <c r="B86" s="896"/>
      <c r="C86" s="896"/>
      <c r="D86" s="896"/>
      <c r="E86" s="896"/>
      <c r="F86" s="248" t="s">
        <v>103</v>
      </c>
      <c r="G86" s="139">
        <v>0</v>
      </c>
      <c r="H86" s="223" t="s">
        <v>81</v>
      </c>
      <c r="I86" s="41">
        <f>I57</f>
        <v>9.2100000000000005E-4</v>
      </c>
      <c r="J86" s="138">
        <f>ROUND(G86*I86,2)</f>
        <v>0</v>
      </c>
      <c r="K86" s="70"/>
      <c r="L86" s="71"/>
      <c r="M86" s="76"/>
      <c r="N86" s="76"/>
      <c r="O86" s="76"/>
      <c r="P86" s="76"/>
      <c r="Q86" s="70"/>
      <c r="R86" s="860" t="s">
        <v>173</v>
      </c>
      <c r="S86" s="860"/>
      <c r="T86" s="860"/>
      <c r="U86" s="253"/>
      <c r="V86" s="203">
        <f>G86</f>
        <v>0</v>
      </c>
      <c r="W86" s="239" t="s">
        <v>81</v>
      </c>
      <c r="X86" s="176">
        <f>X56</f>
        <v>9.2100000000000005E-4</v>
      </c>
      <c r="Y86" s="266">
        <f t="shared" si="12"/>
        <v>0</v>
      </c>
    </row>
    <row r="87" spans="1:26" ht="18" customHeight="1" x14ac:dyDescent="0.25">
      <c r="A87" s="896" t="s">
        <v>105</v>
      </c>
      <c r="B87" s="896"/>
      <c r="C87" s="896"/>
      <c r="D87" s="896"/>
      <c r="E87" s="896"/>
      <c r="F87" s="248" t="s">
        <v>84</v>
      </c>
      <c r="G87" s="139">
        <v>0</v>
      </c>
      <c r="H87" s="223" t="s">
        <v>81</v>
      </c>
      <c r="I87" s="41">
        <f>I54</f>
        <v>8.8699999999999998E-4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160.4983</v>
      </c>
      <c r="C90" s="245"/>
      <c r="D90" s="867">
        <f>I6</f>
        <v>1.0355000000000001</v>
      </c>
      <c r="E90" s="867"/>
      <c r="F90" s="867"/>
      <c r="G90" s="122">
        <f>'[1]Detail 2025-26 FEFP Second'!AB3</f>
        <v>958.42</v>
      </c>
      <c r="H90" s="47" t="s">
        <v>68</v>
      </c>
      <c r="I90" s="727">
        <f>ROUND(B90*D90*G90,2)</f>
        <v>159285.56</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50.436900000000001</v>
      </c>
      <c r="C91" s="245"/>
      <c r="D91" s="867">
        <f>I6</f>
        <v>1.0355000000000001</v>
      </c>
      <c r="E91" s="867"/>
      <c r="F91" s="867"/>
      <c r="G91" s="122">
        <f>'[1]Detail 2025-26 FEFP Second'!AC3</f>
        <v>915.09</v>
      </c>
      <c r="H91" s="47" t="s">
        <v>68</v>
      </c>
      <c r="I91" s="727">
        <f>ROUND(B91*D91*G91,2)</f>
        <v>47792.78</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210.93520000000001</v>
      </c>
      <c r="C93" s="109"/>
      <c r="D93" s="109"/>
      <c r="E93" s="937" t="s">
        <v>112</v>
      </c>
      <c r="F93" s="937"/>
      <c r="G93" s="937"/>
      <c r="H93" s="937"/>
      <c r="I93" s="937"/>
      <c r="J93" s="127">
        <f>IF(A1=75,0,I92+I91+I90)</f>
        <v>207078.34</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9</v>
      </c>
      <c r="D97" s="279">
        <v>10</v>
      </c>
      <c r="E97" s="989">
        <f>(C97+D97)/2</f>
        <v>9.5</v>
      </c>
      <c r="F97" s="940"/>
      <c r="G97" s="940"/>
      <c r="H97" s="224" t="s">
        <v>117</v>
      </c>
      <c r="I97" s="130">
        <f>IF(A1&gt;67,0,INDEX('[1]Transportation Per Student'!F$1:F$65536,MATCH(A1,'[1]Transportation Per Student'!B$1:B$65536)))</f>
        <v>617</v>
      </c>
      <c r="J97" s="138">
        <f>ROUND(I97*E97,2)</f>
        <v>5861.5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1723775.6600000004</v>
      </c>
      <c r="L107" s="576"/>
      <c r="R107" s="860" t="s">
        <v>125</v>
      </c>
      <c r="S107" s="860"/>
      <c r="T107" s="860"/>
      <c r="U107" s="860"/>
      <c r="V107" s="860"/>
      <c r="W107" s="860"/>
      <c r="X107" s="860"/>
      <c r="Y107" s="219">
        <f>SUM(Y106,Y105,Y97,Y96,Y93,Y86,Y85,Y84,Y70,Y69,Y67,Y33,Y71,Y50,Y87,Y83)</f>
        <v>247579.79</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1638698.4600000004</v>
      </c>
      <c r="R109" s="170" t="s">
        <v>180</v>
      </c>
      <c r="S109" s="170"/>
      <c r="T109" s="170"/>
      <c r="U109" s="170"/>
      <c r="V109" s="170"/>
      <c r="W109" s="170"/>
      <c r="X109" s="170"/>
      <c r="Y109" s="220">
        <f>Y107-Y38</f>
        <v>247579.79</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247579.79</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1638698.4600000004</v>
      </c>
      <c r="J114" s="296">
        <f>ROUND(IF(E28=0,0,IF(E28&gt;250,-(((250/E28)*I114)*IF(H114="H",0.02,0.05)),IF(H114="H",-0.02*I114,-0.05*I114))),2)</f>
        <v>-81934.92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1641840.7400000005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Payments'!R89</f>
        <v>-822187.97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819652.77000000048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136608.79999999999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78" workbookViewId="0">
      <selection activeCell="L49" sqref="L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451</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JFK Charter School - 3395</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Second'!$C$1:$C$65536,MATCH('3395'!$A$1,'[1]Detail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74.95</v>
      </c>
      <c r="D12" s="411">
        <v>68.739999999999995</v>
      </c>
      <c r="E12" s="979">
        <f t="shared" ref="E12:E27" si="0">IF($D$28=0,C12*2,C12+D12)</f>
        <v>143.69</v>
      </c>
      <c r="F12" s="979"/>
      <c r="G12" s="980">
        <v>1.1080000000000001</v>
      </c>
      <c r="H12" s="980"/>
      <c r="I12" s="578">
        <f>ROUND(E12*G12,4)</f>
        <v>159.20849999999999</v>
      </c>
      <c r="J12" s="579">
        <f t="shared" ref="J12:J27" si="1">ROUND(ROUND(ROUND(I12*$E$6,4)*($I$6),2)*(MAX($I$7,1)),2)</f>
        <v>885728.99</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8</v>
      </c>
      <c r="D13" s="415">
        <v>9.5</v>
      </c>
      <c r="E13" s="965">
        <f t="shared" si="0"/>
        <v>17.5</v>
      </c>
      <c r="F13" s="965"/>
      <c r="G13" s="966">
        <v>1.1080000000000001</v>
      </c>
      <c r="H13" s="966"/>
      <c r="I13" s="578">
        <f t="shared" ref="I13:I27" si="2">ROUND(E13*G13,4)</f>
        <v>19.39</v>
      </c>
      <c r="J13" s="579">
        <f t="shared" si="1"/>
        <v>107872.92</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101.93</v>
      </c>
      <c r="D14" s="415">
        <v>101.83</v>
      </c>
      <c r="E14" s="965">
        <f t="shared" si="0"/>
        <v>203.76</v>
      </c>
      <c r="F14" s="965"/>
      <c r="G14" s="966">
        <v>1</v>
      </c>
      <c r="H14" s="966"/>
      <c r="I14" s="578">
        <f t="shared" si="2"/>
        <v>203.76</v>
      </c>
      <c r="J14" s="579">
        <f>ROUND(ROUND(ROUND(I14*$E$6,4)*($I$6),2)*(MAX($I$7,1)),2)</f>
        <v>1133583.57</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17.52</v>
      </c>
      <c r="D15" s="415">
        <v>19.04</v>
      </c>
      <c r="E15" s="965">
        <f t="shared" si="0"/>
        <v>36.56</v>
      </c>
      <c r="F15" s="965"/>
      <c r="G15" s="966">
        <v>1</v>
      </c>
      <c r="H15" s="966"/>
      <c r="I15" s="578">
        <f t="shared" si="2"/>
        <v>36.56</v>
      </c>
      <c r="J15" s="579">
        <f t="shared" si="1"/>
        <v>203395.25</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43.55</v>
      </c>
      <c r="D24" s="415">
        <v>44.06</v>
      </c>
      <c r="E24" s="965">
        <f t="shared" si="0"/>
        <v>87.61</v>
      </c>
      <c r="F24" s="965"/>
      <c r="G24" s="966">
        <v>1.165</v>
      </c>
      <c r="H24" s="966"/>
      <c r="I24" s="578">
        <f t="shared" si="2"/>
        <v>102.06570000000001</v>
      </c>
      <c r="J24" s="579">
        <f t="shared" si="1"/>
        <v>567824.9</v>
      </c>
      <c r="M24" s="2"/>
      <c r="R24" s="858" t="s">
        <v>32</v>
      </c>
      <c r="S24" s="858"/>
      <c r="T24" s="889">
        <f t="shared" si="3"/>
        <v>0</v>
      </c>
      <c r="U24" s="889"/>
      <c r="V24" s="894">
        <v>1</v>
      </c>
      <c r="W24" s="894"/>
      <c r="X24" s="156">
        <f t="shared" si="4"/>
        <v>0</v>
      </c>
      <c r="Y24" s="266">
        <f t="shared" si="6"/>
        <v>0</v>
      </c>
    </row>
    <row r="25" spans="1:25" x14ac:dyDescent="0.25">
      <c r="A25" s="859" t="s">
        <v>33</v>
      </c>
      <c r="B25" s="859"/>
      <c r="C25" s="415">
        <v>11.82</v>
      </c>
      <c r="D25" s="415">
        <v>11.96</v>
      </c>
      <c r="E25" s="965">
        <f t="shared" si="0"/>
        <v>23.78</v>
      </c>
      <c r="F25" s="965"/>
      <c r="G25" s="966">
        <v>1.165</v>
      </c>
      <c r="H25" s="966"/>
      <c r="I25" s="578">
        <f t="shared" si="2"/>
        <v>27.703700000000001</v>
      </c>
      <c r="J25" s="579">
        <f t="shared" si="1"/>
        <v>154124.75</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257.77</v>
      </c>
      <c r="D28" s="126">
        <f>SUM(D12:D27)</f>
        <v>255.13</v>
      </c>
      <c r="E28" s="964">
        <f>SUM(E12:E27)</f>
        <v>512.9</v>
      </c>
      <c r="F28" s="964"/>
      <c r="G28" s="959"/>
      <c r="H28" s="959"/>
      <c r="I28" s="23">
        <f>SUM(I12:I27)</f>
        <v>548.68790000000001</v>
      </c>
      <c r="J28" s="127">
        <f>SUM(J12:J27)</f>
        <v>3052530.38</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548.68790000000001</v>
      </c>
      <c r="H33" s="959" t="s">
        <v>45</v>
      </c>
      <c r="I33" s="959"/>
      <c r="J33" s="32">
        <f>SUM(J32,J28)</f>
        <v>3052530.38</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3066507.69</v>
      </c>
      <c r="H36" s="223" t="s">
        <v>49</v>
      </c>
      <c r="I36" s="38">
        <v>6.6699999999999995E-2</v>
      </c>
      <c r="J36" s="131">
        <f>ROUND(G36*I36,2)</f>
        <v>204536.06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3066507.69</v>
      </c>
      <c r="H37" s="223" t="s">
        <v>49</v>
      </c>
      <c r="I37" s="38">
        <v>5.4000000000000003E-3</v>
      </c>
      <c r="J37" s="131">
        <f>ROUND(G37*I37,2)</f>
        <v>16559.14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221095.2</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7.5</v>
      </c>
      <c r="D41" s="415">
        <v>8.91</v>
      </c>
      <c r="E41" s="952">
        <f t="shared" ref="E41:E49" si="7">IF($D$50=0,C41*2,C41+D41)</f>
        <v>16.41</v>
      </c>
      <c r="F41" s="952"/>
      <c r="G41" s="223" t="s">
        <v>59</v>
      </c>
      <c r="H41" s="223">
        <v>251</v>
      </c>
      <c r="I41" s="136">
        <f>INDEX('[1]111-112-113 ADDITIONAL FUND'!D$1:D$65536,MATCH($A$1,'[1]111-112-113 ADDITIONAL FUND'!A$1:A$65536))</f>
        <v>1047</v>
      </c>
      <c r="J41" s="727">
        <f t="shared" ref="J41:J49" si="8">ROUND(E41*I41,2)</f>
        <v>17181.27</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0.5</v>
      </c>
      <c r="D42" s="415">
        <v>0.59</v>
      </c>
      <c r="E42" s="952">
        <f t="shared" si="7"/>
        <v>1.0899999999999999</v>
      </c>
      <c r="F42" s="952"/>
      <c r="G42" s="223" t="s">
        <v>59</v>
      </c>
      <c r="H42" s="223">
        <v>252</v>
      </c>
      <c r="I42" s="136">
        <f>INDEX('[1]111-112-113 ADDITIONAL FUND'!E$1:E$65536,MATCH($A$1,'[1]111-112-113 ADDITIONAL FUND'!A$1:A$65536))</f>
        <v>3380</v>
      </c>
      <c r="J42" s="727">
        <f t="shared" si="8"/>
        <v>3684.2</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16.52</v>
      </c>
      <c r="D44" s="415">
        <v>17.95</v>
      </c>
      <c r="E44" s="952">
        <f t="shared" si="7"/>
        <v>34.47</v>
      </c>
      <c r="F44" s="952"/>
      <c r="G44" s="47" t="s">
        <v>60</v>
      </c>
      <c r="H44" s="223">
        <v>251</v>
      </c>
      <c r="I44" s="136">
        <f>INDEX('[1]111-112-113 ADDITIONAL FUND'!G$1:G$65536,MATCH($A$1,'[1]111-112-113 ADDITIONAL FUND'!A$1:A$65536))</f>
        <v>1173</v>
      </c>
      <c r="J44" s="727">
        <f t="shared" si="8"/>
        <v>40433.31</v>
      </c>
      <c r="L44" s="3"/>
      <c r="M44" s="2"/>
      <c r="Q44" s="4"/>
      <c r="R44" s="901"/>
      <c r="S44" s="901"/>
      <c r="T44" s="903"/>
      <c r="U44" s="903"/>
      <c r="V44" s="182" t="s">
        <v>60</v>
      </c>
      <c r="W44" s="239">
        <v>251</v>
      </c>
      <c r="X44" s="134">
        <f t="shared" si="9"/>
        <v>1173</v>
      </c>
      <c r="Y44" s="269">
        <f t="shared" si="10"/>
        <v>0</v>
      </c>
    </row>
    <row r="45" spans="1:25" x14ac:dyDescent="0.25">
      <c r="A45" s="958"/>
      <c r="B45" s="958"/>
      <c r="C45" s="415">
        <v>1</v>
      </c>
      <c r="D45" s="415">
        <v>1.0900000000000001</v>
      </c>
      <c r="E45" s="952">
        <f t="shared" si="7"/>
        <v>2.09</v>
      </c>
      <c r="F45" s="952"/>
      <c r="G45" s="47" t="s">
        <v>60</v>
      </c>
      <c r="H45" s="223">
        <v>252</v>
      </c>
      <c r="I45" s="136">
        <f>INDEX('[1]111-112-113 ADDITIONAL FUND'!H$1:H$65536,MATCH($A$1,'[1]111-112-113 ADDITIONAL FUND'!A$1:A$65536))</f>
        <v>3506</v>
      </c>
      <c r="J45" s="727">
        <f t="shared" si="8"/>
        <v>7327.54</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25.52</v>
      </c>
      <c r="D50" s="585">
        <f>SUM(D41:D49)</f>
        <v>28.54</v>
      </c>
      <c r="E50" s="954">
        <f>SUM(E41:E49)</f>
        <v>54.06</v>
      </c>
      <c r="F50" s="954"/>
      <c r="G50" s="910" t="s">
        <v>63</v>
      </c>
      <c r="H50" s="910"/>
      <c r="I50" s="910"/>
      <c r="J50" s="276">
        <f>SUM(J41:J49)</f>
        <v>68626.319999999992</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512.9</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2.382E-3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548.68790000000001</v>
      </c>
      <c r="U55" s="184" t="s">
        <v>66</v>
      </c>
      <c r="V55" s="185"/>
      <c r="W55" s="186" t="s">
        <v>71</v>
      </c>
      <c r="X55" s="917">
        <f>I56</f>
        <v>229051.25000000003</v>
      </c>
      <c r="Y55" s="917"/>
    </row>
    <row r="56" spans="1:25" ht="16.5" customHeight="1" x14ac:dyDescent="0.25">
      <c r="A56" s="897" t="s">
        <v>70</v>
      </c>
      <c r="B56" s="897"/>
      <c r="C56" s="237"/>
      <c r="D56" s="237"/>
      <c r="E56" s="48">
        <f>G33</f>
        <v>548.68790000000001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2.395E-3</v>
      </c>
      <c r="Y56" s="918"/>
    </row>
    <row r="57" spans="1:25" ht="18.75" customHeight="1" x14ac:dyDescent="0.25">
      <c r="A57" s="237"/>
      <c r="H57" s="53" t="s">
        <v>68</v>
      </c>
      <c r="I57" s="943">
        <f>IFERROR(ROUND(E56/I56,6),0)</f>
        <v>2.395E-3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512.9</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2.7550000000000001E-3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512.9</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2.385E-3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512.9</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2.7599999999999999E-3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2.385E-3</v>
      </c>
      <c r="J68" s="138">
        <f>ROUND(G68*I68,2)</f>
        <v>112788.43</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2.382E-3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2.7599999999999999E-3</v>
      </c>
      <c r="J71" s="138">
        <f>ROUND(G71*I71,2)</f>
        <v>52903.35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2.7550000000000001E-3</v>
      </c>
      <c r="J72" s="138">
        <f>ROUND(G72*I72,2)</f>
        <v>31811.68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2.395E-3</v>
      </c>
      <c r="J85" s="138">
        <f>ROUND(G85*I85,2)</f>
        <v>643814.99</v>
      </c>
      <c r="K85" s="70"/>
      <c r="L85" s="70"/>
      <c r="M85" s="71"/>
      <c r="N85" s="70"/>
      <c r="O85" s="70"/>
      <c r="P85" s="70"/>
      <c r="Q85" s="70"/>
      <c r="R85" s="860" t="s">
        <v>172</v>
      </c>
      <c r="S85" s="860"/>
      <c r="T85" s="860"/>
      <c r="U85" s="253"/>
      <c r="V85" s="171">
        <f>G85</f>
        <v>268816278</v>
      </c>
      <c r="W85" s="239" t="s">
        <v>81</v>
      </c>
      <c r="X85" s="176">
        <f>X56</f>
        <v>2.395E-3</v>
      </c>
      <c r="Y85" s="266">
        <f t="shared" ref="Y85:Y87" si="12">ROUND(V85*X85,2)</f>
        <v>643814.99</v>
      </c>
    </row>
    <row r="86" spans="1:26" ht="14.25" customHeight="1" x14ac:dyDescent="0.25">
      <c r="A86" s="896" t="s">
        <v>104</v>
      </c>
      <c r="B86" s="896"/>
      <c r="C86" s="896"/>
      <c r="D86" s="896"/>
      <c r="E86" s="896"/>
      <c r="F86" s="248" t="s">
        <v>103</v>
      </c>
      <c r="G86" s="139">
        <v>0</v>
      </c>
      <c r="H86" s="223" t="s">
        <v>81</v>
      </c>
      <c r="I86" s="41">
        <f>I57</f>
        <v>2.395E-3</v>
      </c>
      <c r="J86" s="138">
        <f>ROUND(G86*I86,2)</f>
        <v>0</v>
      </c>
      <c r="K86" s="70"/>
      <c r="L86" s="71"/>
      <c r="M86" s="76"/>
      <c r="N86" s="76"/>
      <c r="O86" s="76"/>
      <c r="P86" s="76"/>
      <c r="Q86" s="70"/>
      <c r="R86" s="860" t="s">
        <v>173</v>
      </c>
      <c r="S86" s="860"/>
      <c r="T86" s="860"/>
      <c r="U86" s="253"/>
      <c r="V86" s="203">
        <f>G86</f>
        <v>0</v>
      </c>
      <c r="W86" s="239" t="s">
        <v>81</v>
      </c>
      <c r="X86" s="176">
        <f>X56</f>
        <v>2.395E-3</v>
      </c>
      <c r="Y86" s="266">
        <f t="shared" si="12"/>
        <v>0</v>
      </c>
    </row>
    <row r="87" spans="1:26" ht="18" customHeight="1" x14ac:dyDescent="0.25">
      <c r="A87" s="896" t="s">
        <v>105</v>
      </c>
      <c r="B87" s="896"/>
      <c r="C87" s="896"/>
      <c r="D87" s="896"/>
      <c r="E87" s="896"/>
      <c r="F87" s="248" t="s">
        <v>84</v>
      </c>
      <c r="G87" s="139">
        <v>0</v>
      </c>
      <c r="H87" s="223" t="s">
        <v>81</v>
      </c>
      <c r="I87" s="41">
        <f>I54</f>
        <v>2.382E-3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280.66419999999999</v>
      </c>
      <c r="C90" s="245"/>
      <c r="D90" s="867">
        <f>I6</f>
        <v>1.0355000000000001</v>
      </c>
      <c r="E90" s="867"/>
      <c r="F90" s="867"/>
      <c r="G90" s="122">
        <f>'[1]Detail 2025-26 FEFP Second'!AB3</f>
        <v>958.42</v>
      </c>
      <c r="H90" s="47" t="s">
        <v>68</v>
      </c>
      <c r="I90" s="727">
        <f>ROUND(B90*D90*G90,2)</f>
        <v>278543.48</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268.02370000000002</v>
      </c>
      <c r="C91" s="245"/>
      <c r="D91" s="867">
        <f>I6</f>
        <v>1.0355000000000001</v>
      </c>
      <c r="E91" s="867"/>
      <c r="F91" s="867"/>
      <c r="G91" s="122">
        <f>'[1]Detail 2025-26 FEFP Second'!AC3</f>
        <v>915.09</v>
      </c>
      <c r="H91" s="47" t="s">
        <v>68</v>
      </c>
      <c r="I91" s="727">
        <f>ROUND(B91*D91*G91,2)</f>
        <v>253972.74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548.68790000000001</v>
      </c>
      <c r="C93" s="109"/>
      <c r="D93" s="109"/>
      <c r="E93" s="937" t="s">
        <v>112</v>
      </c>
      <c r="F93" s="937"/>
      <c r="G93" s="937"/>
      <c r="H93" s="937"/>
      <c r="I93" s="937"/>
      <c r="J93" s="127">
        <f>IF(A1=75,0,I92+I91+I90)</f>
        <v>532516.22</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17</v>
      </c>
      <c r="D97" s="279">
        <v>18</v>
      </c>
      <c r="E97" s="989">
        <f>(C97+D97)/2</f>
        <v>17.5</v>
      </c>
      <c r="F97" s="940"/>
      <c r="G97" s="940"/>
      <c r="H97" s="224" t="s">
        <v>117</v>
      </c>
      <c r="I97" s="130">
        <f>IF(A1&gt;67,0,INDEX('[1]Transportation Per Student'!F$1:F$65536,MATCH(A1,'[1]Transportation Per Student'!B$1:B$65536)))</f>
        <v>617</v>
      </c>
      <c r="J97" s="138">
        <f>ROUND(I97*E97,2)</f>
        <v>10797.5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4505788.87</v>
      </c>
      <c r="L107" s="576"/>
      <c r="R107" s="860" t="s">
        <v>125</v>
      </c>
      <c r="S107" s="860"/>
      <c r="T107" s="860"/>
      <c r="U107" s="860"/>
      <c r="V107" s="860"/>
      <c r="W107" s="860"/>
      <c r="X107" s="860"/>
      <c r="Y107" s="219">
        <f>SUM(Y106,Y105,Y97,Y96,Y93,Y86,Y85,Y84,Y70,Y69,Y67,Y33,Y71,Y50,Y87,Y83)</f>
        <v>643814.99</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4284693.67</v>
      </c>
      <c r="R109" s="170" t="s">
        <v>180</v>
      </c>
      <c r="S109" s="170"/>
      <c r="T109" s="170"/>
      <c r="U109" s="170"/>
      <c r="V109" s="170"/>
      <c r="W109" s="170"/>
      <c r="X109" s="170"/>
      <c r="Y109" s="220">
        <f>Y107-Y38</f>
        <v>643814.99</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643814.99</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4284693.67</v>
      </c>
      <c r="J114" s="296">
        <f>ROUND(IF(E28=0,0,IF(E28&gt;250,-(((250/E28)*I114)*IF(H113="H",0.02,0.05)),IF(H113="H",-0.02*I114,-0.05*I114))),2)</f>
        <v>-104423.22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4401365.6500000004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Payments'!R90</f>
        <v>-2201152.36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2200213.2900000005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366702.22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109811.46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76" workbookViewId="0">
      <selection activeCell="L24" sqref="L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452</v>
      </c>
      <c r="B2" s="102"/>
      <c r="C2" s="102"/>
      <c r="D2" s="102"/>
      <c r="E2" s="100"/>
      <c r="F2" s="100"/>
      <c r="G2" s="100"/>
      <c r="H2" s="100"/>
      <c r="I2" s="100"/>
      <c r="J2" s="100"/>
      <c r="K2" s="6"/>
      <c r="L2" s="6"/>
      <c r="M2" s="6"/>
      <c r="N2" s="6"/>
      <c r="O2" s="6"/>
      <c r="P2" s="6"/>
      <c r="Q2" s="6"/>
      <c r="R2" s="873" t="str">
        <f>Revenue_Estimate_Worksheet_for___________Charter_School</f>
        <v>Revenue Estimate Worksheet: G-Star School of the Arts for Motion Pictures &amp; Television - 3396</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Second'!$C$1:$C$65536,MATCH('3396'!$A$1,'[1]Detail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61</v>
      </c>
      <c r="D14" s="415">
        <v>61.61</v>
      </c>
      <c r="E14" s="965">
        <f t="shared" si="0"/>
        <v>122.61</v>
      </c>
      <c r="F14" s="965"/>
      <c r="G14" s="966">
        <v>1</v>
      </c>
      <c r="H14" s="966"/>
      <c r="I14" s="578">
        <f t="shared" si="2"/>
        <v>122.61</v>
      </c>
      <c r="J14" s="579">
        <f>ROUND(ROUND(ROUND(I14*$E$6,4)*($I$6),2)*(MAX($I$7,1)),2)</f>
        <v>682119.56</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8</v>
      </c>
      <c r="D15" s="415">
        <v>8.15</v>
      </c>
      <c r="E15" s="965">
        <f t="shared" si="0"/>
        <v>16.149999999999999</v>
      </c>
      <c r="F15" s="965"/>
      <c r="G15" s="966">
        <v>1</v>
      </c>
      <c r="H15" s="966"/>
      <c r="I15" s="578">
        <f t="shared" si="2"/>
        <v>16.149999999999999</v>
      </c>
      <c r="J15" s="579">
        <f t="shared" si="1"/>
        <v>89847.74</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210.62</v>
      </c>
      <c r="D16" s="415">
        <v>202.05</v>
      </c>
      <c r="E16" s="965">
        <f t="shared" si="0"/>
        <v>412.67</v>
      </c>
      <c r="F16" s="965"/>
      <c r="G16" s="966">
        <v>0.97199999999999998</v>
      </c>
      <c r="H16" s="966"/>
      <c r="I16" s="578">
        <f t="shared" si="2"/>
        <v>401.11520000000002</v>
      </c>
      <c r="J16" s="579">
        <f t="shared" si="1"/>
        <v>2231535.14</v>
      </c>
      <c r="M16" s="2"/>
      <c r="R16" s="858" t="s">
        <v>24</v>
      </c>
      <c r="S16" s="858"/>
      <c r="T16" s="889">
        <f t="shared" si="3"/>
        <v>0</v>
      </c>
      <c r="U16" s="889"/>
      <c r="V16" s="894">
        <v>1</v>
      </c>
      <c r="W16" s="894"/>
      <c r="X16" s="156">
        <f t="shared" si="4"/>
        <v>0</v>
      </c>
      <c r="Y16" s="266">
        <f t="shared" si="6"/>
        <v>0</v>
      </c>
    </row>
    <row r="17" spans="1:25" x14ac:dyDescent="0.25">
      <c r="A17" s="859" t="s">
        <v>25</v>
      </c>
      <c r="B17" s="859"/>
      <c r="C17" s="415">
        <v>37.39</v>
      </c>
      <c r="D17" s="415">
        <v>35.08</v>
      </c>
      <c r="E17" s="965">
        <f t="shared" si="0"/>
        <v>72.47</v>
      </c>
      <c r="F17" s="965"/>
      <c r="G17" s="966">
        <v>0.97199999999999998</v>
      </c>
      <c r="H17" s="966"/>
      <c r="I17" s="578">
        <f t="shared" si="2"/>
        <v>70.440799999999996</v>
      </c>
      <c r="J17" s="579">
        <f t="shared" si="1"/>
        <v>391885.23</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4.78</v>
      </c>
      <c r="D25" s="415">
        <v>5</v>
      </c>
      <c r="E25" s="965">
        <f t="shared" si="0"/>
        <v>9.7800000000000011</v>
      </c>
      <c r="F25" s="965"/>
      <c r="G25" s="966">
        <v>1.165</v>
      </c>
      <c r="H25" s="966"/>
      <c r="I25" s="578">
        <f t="shared" si="2"/>
        <v>11.393700000000001</v>
      </c>
      <c r="J25" s="579">
        <f t="shared" si="1"/>
        <v>63386.879999999997</v>
      </c>
      <c r="M25" s="2"/>
      <c r="R25" s="858" t="s">
        <v>33</v>
      </c>
      <c r="S25" s="858"/>
      <c r="T25" s="889">
        <f t="shared" si="3"/>
        <v>0</v>
      </c>
      <c r="U25" s="889"/>
      <c r="V25" s="894">
        <v>1</v>
      </c>
      <c r="W25" s="894"/>
      <c r="X25" s="156">
        <f t="shared" si="4"/>
        <v>0</v>
      </c>
      <c r="Y25" s="266">
        <f t="shared" si="6"/>
        <v>0</v>
      </c>
    </row>
    <row r="26" spans="1:25" x14ac:dyDescent="0.25">
      <c r="A26" s="859" t="s">
        <v>34</v>
      </c>
      <c r="B26" s="859"/>
      <c r="C26" s="415">
        <v>9.25</v>
      </c>
      <c r="D26" s="415">
        <v>9.69</v>
      </c>
      <c r="E26" s="965">
        <f t="shared" si="0"/>
        <v>18.939999999999998</v>
      </c>
      <c r="F26" s="965"/>
      <c r="G26" s="966">
        <v>1.165</v>
      </c>
      <c r="H26" s="966"/>
      <c r="I26" s="578">
        <f t="shared" si="2"/>
        <v>22.065100000000001</v>
      </c>
      <c r="J26" s="579">
        <f t="shared" si="1"/>
        <v>122755.37</v>
      </c>
      <c r="M26" s="2"/>
      <c r="R26" s="858" t="s">
        <v>34</v>
      </c>
      <c r="S26" s="858"/>
      <c r="T26" s="889">
        <f t="shared" si="3"/>
        <v>0</v>
      </c>
      <c r="U26" s="889"/>
      <c r="V26" s="894">
        <v>1</v>
      </c>
      <c r="W26" s="894"/>
      <c r="X26" s="156">
        <f t="shared" si="4"/>
        <v>0</v>
      </c>
      <c r="Y26" s="266">
        <f t="shared" si="6"/>
        <v>0</v>
      </c>
    </row>
    <row r="27" spans="1:25" x14ac:dyDescent="0.25">
      <c r="A27" s="864" t="s">
        <v>35</v>
      </c>
      <c r="B27" s="864"/>
      <c r="C27" s="416">
        <v>22.77</v>
      </c>
      <c r="D27" s="416">
        <v>21.67</v>
      </c>
      <c r="E27" s="961">
        <f t="shared" si="0"/>
        <v>44.44</v>
      </c>
      <c r="F27" s="961"/>
      <c r="G27" s="962">
        <v>1.081</v>
      </c>
      <c r="H27" s="962"/>
      <c r="I27" s="22">
        <f t="shared" si="2"/>
        <v>48.0396</v>
      </c>
      <c r="J27" s="127">
        <f t="shared" si="1"/>
        <v>267260.02</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353.80999999999995</v>
      </c>
      <c r="D28" s="126">
        <f>SUM(D12:D27)</f>
        <v>343.25</v>
      </c>
      <c r="E28" s="964">
        <f>SUM(E12:E27)</f>
        <v>697.06000000000017</v>
      </c>
      <c r="F28" s="964"/>
      <c r="G28" s="959"/>
      <c r="H28" s="959"/>
      <c r="I28" s="23">
        <f>SUM(I12:I27)</f>
        <v>691.81439999999986</v>
      </c>
      <c r="J28" s="127">
        <f>SUM(J12:J27)</f>
        <v>3848789.9400000004</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691.81439999999986</v>
      </c>
      <c r="H33" s="959" t="s">
        <v>45</v>
      </c>
      <c r="I33" s="959"/>
      <c r="J33" s="32">
        <f>SUM(J32,J28)</f>
        <v>3848789.9400000004</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3901661.02</v>
      </c>
      <c r="H36" s="223" t="s">
        <v>49</v>
      </c>
      <c r="I36" s="38">
        <v>6.6699999999999995E-2</v>
      </c>
      <c r="J36" s="131">
        <f>ROUND(G36*I36,2)</f>
        <v>260240.79</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3901661.02</v>
      </c>
      <c r="H37" s="223" t="s">
        <v>49</v>
      </c>
      <c r="I37" s="38">
        <v>5.4000000000000003E-3</v>
      </c>
      <c r="J37" s="131">
        <f>ROUND(G37*I37,2)</f>
        <v>21068.97</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281309.76</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7.5</v>
      </c>
      <c r="D44" s="415">
        <v>7.64</v>
      </c>
      <c r="E44" s="952">
        <f t="shared" si="7"/>
        <v>15.14</v>
      </c>
      <c r="F44" s="952"/>
      <c r="G44" s="47" t="s">
        <v>60</v>
      </c>
      <c r="H44" s="223">
        <v>251</v>
      </c>
      <c r="I44" s="136">
        <f>INDEX('[1]111-112-113 ADDITIONAL FUND'!G$1:G$65536,MATCH($A$1,'[1]111-112-113 ADDITIONAL FUND'!A$1:A$65536))</f>
        <v>1173</v>
      </c>
      <c r="J44" s="727">
        <f t="shared" si="8"/>
        <v>17759.22</v>
      </c>
      <c r="L44" s="3"/>
      <c r="M44" s="2"/>
      <c r="Q44" s="4"/>
      <c r="R44" s="901"/>
      <c r="S44" s="901"/>
      <c r="T44" s="903"/>
      <c r="U44" s="903"/>
      <c r="V44" s="182" t="s">
        <v>60</v>
      </c>
      <c r="W44" s="239">
        <v>251</v>
      </c>
      <c r="X44" s="134">
        <f t="shared" si="9"/>
        <v>1173</v>
      </c>
      <c r="Y44" s="269">
        <f t="shared" si="10"/>
        <v>0</v>
      </c>
    </row>
    <row r="45" spans="1:25" x14ac:dyDescent="0.25">
      <c r="A45" s="958"/>
      <c r="B45" s="958"/>
      <c r="C45" s="415">
        <v>0.5</v>
      </c>
      <c r="D45" s="415">
        <v>0.51</v>
      </c>
      <c r="E45" s="952">
        <f t="shared" si="7"/>
        <v>1.01</v>
      </c>
      <c r="F45" s="952"/>
      <c r="G45" s="47" t="s">
        <v>60</v>
      </c>
      <c r="H45" s="223">
        <v>252</v>
      </c>
      <c r="I45" s="136">
        <f>INDEX('[1]111-112-113 ADDITIONAL FUND'!H$1:H$65536,MATCH($A$1,'[1]111-112-113 ADDITIONAL FUND'!A$1:A$65536))</f>
        <v>3506</v>
      </c>
      <c r="J45" s="727">
        <f t="shared" si="8"/>
        <v>3541.06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36.39</v>
      </c>
      <c r="D47" s="415">
        <v>34.14</v>
      </c>
      <c r="E47" s="952">
        <f t="shared" si="7"/>
        <v>70.53</v>
      </c>
      <c r="F47" s="952"/>
      <c r="G47" s="47" t="s">
        <v>61</v>
      </c>
      <c r="H47" s="223">
        <v>251</v>
      </c>
      <c r="I47" s="136">
        <f>INDEX('[1]111-112-113 ADDITIONAL FUND'!J$1:J$65536,MATCH($A$1,'[1]111-112-113 ADDITIONAL FUND'!A$1:A$65536))</f>
        <v>835</v>
      </c>
      <c r="J47" s="727">
        <f t="shared" si="8"/>
        <v>58892.55</v>
      </c>
      <c r="M47" s="2"/>
      <c r="R47" s="901"/>
      <c r="S47" s="901"/>
      <c r="T47" s="903"/>
      <c r="U47" s="903"/>
      <c r="V47" s="182" t="s">
        <v>61</v>
      </c>
      <c r="W47" s="239">
        <v>251</v>
      </c>
      <c r="X47" s="134">
        <f t="shared" si="9"/>
        <v>835</v>
      </c>
      <c r="Y47" s="269">
        <f t="shared" si="10"/>
        <v>0</v>
      </c>
    </row>
    <row r="48" spans="1:25" ht="15.75" customHeight="1" x14ac:dyDescent="0.25">
      <c r="A48" s="958"/>
      <c r="B48" s="958"/>
      <c r="C48" s="415">
        <v>1</v>
      </c>
      <c r="D48" s="415">
        <v>0.94</v>
      </c>
      <c r="E48" s="952">
        <f t="shared" si="7"/>
        <v>1.94</v>
      </c>
      <c r="F48" s="952"/>
      <c r="G48" s="47" t="s">
        <v>61</v>
      </c>
      <c r="H48" s="223">
        <v>252</v>
      </c>
      <c r="I48" s="136">
        <f>INDEX('[1]111-112-113 ADDITIONAL FUND'!K$1:K$65536,MATCH($A$1,'[1]111-112-113 ADDITIONAL FUND'!A$1:A$65536))</f>
        <v>3168</v>
      </c>
      <c r="J48" s="727">
        <f t="shared" si="8"/>
        <v>6145.92</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45.39</v>
      </c>
      <c r="D50" s="585">
        <f>SUM(D41:D49)</f>
        <v>43.23</v>
      </c>
      <c r="E50" s="954">
        <f>SUM(E41:E49)</f>
        <v>88.62</v>
      </c>
      <c r="F50" s="954"/>
      <c r="G50" s="910" t="s">
        <v>63</v>
      </c>
      <c r="H50" s="910"/>
      <c r="I50" s="910"/>
      <c r="J50" s="276">
        <f>SUM(J41:J49)</f>
        <v>86338.75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697.06000000000017</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3.2369999999999999E-3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691.81439999999986</v>
      </c>
      <c r="U55" s="184" t="s">
        <v>66</v>
      </c>
      <c r="V55" s="185"/>
      <c r="W55" s="186" t="s">
        <v>71</v>
      </c>
      <c r="X55" s="917">
        <f>I56</f>
        <v>229051.25000000003</v>
      </c>
      <c r="Y55" s="917"/>
    </row>
    <row r="56" spans="1:25" ht="16.5" customHeight="1" x14ac:dyDescent="0.25">
      <c r="A56" s="897" t="s">
        <v>70</v>
      </c>
      <c r="B56" s="897"/>
      <c r="C56" s="237"/>
      <c r="D56" s="237"/>
      <c r="E56" s="48">
        <f>G33</f>
        <v>691.81439999999986</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3.0200000000000001E-3</v>
      </c>
      <c r="Y56" s="918"/>
    </row>
    <row r="57" spans="1:25" ht="18.75" customHeight="1" x14ac:dyDescent="0.25">
      <c r="A57" s="237"/>
      <c r="H57" s="53" t="s">
        <v>68</v>
      </c>
      <c r="I57" s="943">
        <f>IFERROR(ROUND(E56/I56,6),0)</f>
        <v>3.0200000000000001E-3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697.06000000000017</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3.7439999999999999E-3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697.06000000000017</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3.2420000000000001E-3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697.06000000000017</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3.751E-3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3.2420000000000001E-3</v>
      </c>
      <c r="J68" s="138">
        <f>ROUND(G68*I68,2)</f>
        <v>153316.6</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3.2369999999999999E-3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3.751E-3</v>
      </c>
      <c r="J71" s="138">
        <f>ROUND(G71*I71,2)</f>
        <v>71898.720000000001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3.7439999999999999E-3</v>
      </c>
      <c r="J72" s="138">
        <f>ROUND(G72*I72,2)</f>
        <v>43231.55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v>26.72</v>
      </c>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v>44.22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79.84</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66" t="s">
        <v>101</v>
      </c>
      <c r="B84" s="866"/>
      <c r="C84" s="866"/>
      <c r="D84" s="230"/>
      <c r="G84" s="121">
        <f>INDEX('[1]Detail 2025-26 FEFP Second'!O$1:O$65536,MATCH(A1,'[1]Detail 2025-26 FEFP Second'!A$1:A$65536))</f>
        <v>63269727</v>
      </c>
      <c r="H84" s="223" t="s">
        <v>81</v>
      </c>
      <c r="I84" s="41">
        <f>IFERROR(ROUND(J81/J82,6),0)</f>
        <v>6.966E-3</v>
      </c>
      <c r="J84" s="728">
        <f>ROUND(G84*I84,2)</f>
        <v>440736.92</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3.0200000000000001E-3</v>
      </c>
      <c r="J85" s="138">
        <f>ROUND(G85*I85,2)</f>
        <v>811825.16</v>
      </c>
      <c r="K85" s="70"/>
      <c r="L85" s="70"/>
      <c r="M85" s="71"/>
      <c r="N85" s="70"/>
      <c r="O85" s="70"/>
      <c r="P85" s="70"/>
      <c r="Q85" s="70"/>
      <c r="R85" s="860" t="s">
        <v>172</v>
      </c>
      <c r="S85" s="860"/>
      <c r="T85" s="860"/>
      <c r="U85" s="253"/>
      <c r="V85" s="171">
        <f>G85</f>
        <v>268816278</v>
      </c>
      <c r="W85" s="239" t="s">
        <v>81</v>
      </c>
      <c r="X85" s="176">
        <f>X56</f>
        <v>3.0200000000000001E-3</v>
      </c>
      <c r="Y85" s="266">
        <f t="shared" ref="Y85:Y87" si="12">ROUND(V85*X85,2)</f>
        <v>811825.16</v>
      </c>
    </row>
    <row r="86" spans="1:26" ht="14.25" customHeight="1" x14ac:dyDescent="0.25">
      <c r="A86" s="896" t="s">
        <v>104</v>
      </c>
      <c r="B86" s="896"/>
      <c r="C86" s="896"/>
      <c r="D86" s="896"/>
      <c r="E86" s="896"/>
      <c r="F86" s="248" t="s">
        <v>103</v>
      </c>
      <c r="G86" s="139">
        <v>0</v>
      </c>
      <c r="H86" s="223" t="s">
        <v>81</v>
      </c>
      <c r="I86" s="41">
        <f>I57</f>
        <v>3.0200000000000001E-3</v>
      </c>
      <c r="J86" s="138">
        <f>ROUND(G86*I86,2)</f>
        <v>0</v>
      </c>
      <c r="K86" s="70"/>
      <c r="L86" s="71"/>
      <c r="M86" s="76"/>
      <c r="N86" s="76"/>
      <c r="O86" s="76"/>
      <c r="P86" s="76"/>
      <c r="Q86" s="70"/>
      <c r="R86" s="860" t="s">
        <v>173</v>
      </c>
      <c r="S86" s="860"/>
      <c r="T86" s="860"/>
      <c r="U86" s="253"/>
      <c r="V86" s="203">
        <f>G86</f>
        <v>0</v>
      </c>
      <c r="W86" s="239" t="s">
        <v>81</v>
      </c>
      <c r="X86" s="176">
        <f>X56</f>
        <v>3.0200000000000001E-3</v>
      </c>
      <c r="Y86" s="266">
        <f t="shared" si="12"/>
        <v>0</v>
      </c>
    </row>
    <row r="87" spans="1:26" ht="18" customHeight="1" x14ac:dyDescent="0.25">
      <c r="A87" s="896" t="s">
        <v>105</v>
      </c>
      <c r="B87" s="896"/>
      <c r="C87" s="896"/>
      <c r="D87" s="896"/>
      <c r="E87" s="896"/>
      <c r="F87" s="248" t="s">
        <v>84</v>
      </c>
      <c r="G87" s="139">
        <v>0</v>
      </c>
      <c r="H87" s="223" t="s">
        <v>81</v>
      </c>
      <c r="I87" s="41">
        <f>I54</f>
        <v>3.2369999999999999E-3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150.15369999999999</v>
      </c>
      <c r="C91" s="245"/>
      <c r="D91" s="867">
        <f>I6</f>
        <v>1.0355000000000001</v>
      </c>
      <c r="E91" s="867"/>
      <c r="F91" s="867"/>
      <c r="G91" s="122">
        <f>'[1]Detail 2025-26 FEFP Second'!AC3</f>
        <v>915.09</v>
      </c>
      <c r="H91" s="47" t="s">
        <v>68</v>
      </c>
      <c r="I91" s="727">
        <f>ROUND(B91*D91*G91,2)</f>
        <v>142282</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541.66070000000002</v>
      </c>
      <c r="C92" s="109"/>
      <c r="D92" s="867">
        <f>I6</f>
        <v>1.0355000000000001</v>
      </c>
      <c r="E92" s="867"/>
      <c r="F92" s="867"/>
      <c r="G92" s="122">
        <f>'[1]Detail 2025-26 FEFP Second'!AD3</f>
        <v>917.3</v>
      </c>
      <c r="H92" s="47" t="s">
        <v>68</v>
      </c>
      <c r="I92" s="727">
        <f>ROUND(B92*D92*G92,2)</f>
        <v>514504.08</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691.81439999999998</v>
      </c>
      <c r="C93" s="109"/>
      <c r="D93" s="109"/>
      <c r="E93" s="937" t="s">
        <v>112</v>
      </c>
      <c r="F93" s="937"/>
      <c r="G93" s="937"/>
      <c r="H93" s="937"/>
      <c r="I93" s="937"/>
      <c r="J93" s="127">
        <f>IF(A1=75,0,I92+I91+I90)</f>
        <v>656786.08000000007</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239</v>
      </c>
      <c r="D97" s="279">
        <v>266</v>
      </c>
      <c r="E97" s="989">
        <f>(C97+D97)/2</f>
        <v>252.5</v>
      </c>
      <c r="F97" s="940"/>
      <c r="G97" s="940"/>
      <c r="H97" s="224" t="s">
        <v>117</v>
      </c>
      <c r="I97" s="130">
        <f>IF(A1&gt;67,0,INDEX('[1]Transportation Per Student'!F$1:F$65536,MATCH(A1,'[1]Transportation Per Student'!B$1:B$65536)))</f>
        <v>617</v>
      </c>
      <c r="J97" s="138">
        <f>ROUND(I97*E97,2)</f>
        <v>155792.5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6268716.2200000007</v>
      </c>
      <c r="L107" s="576"/>
      <c r="R107" s="860" t="s">
        <v>125</v>
      </c>
      <c r="S107" s="860"/>
      <c r="T107" s="860"/>
      <c r="U107" s="860"/>
      <c r="V107" s="860"/>
      <c r="W107" s="860"/>
      <c r="X107" s="860"/>
      <c r="Y107" s="219">
        <f>SUM(Y106,Y105,Y97,Y96,Y93,Y86,Y85,Y84,Y70,Y69,Y67,Y33,Y71,Y50,Y87,Y83)</f>
        <v>811825.16</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5987406.4600000009</v>
      </c>
      <c r="R109" s="170" t="s">
        <v>180</v>
      </c>
      <c r="S109" s="170"/>
      <c r="T109" s="170"/>
      <c r="U109" s="170"/>
      <c r="V109" s="170"/>
      <c r="W109" s="170"/>
      <c r="X109" s="170"/>
      <c r="Y109" s="220">
        <f>Y107-Y38</f>
        <v>811825.16</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811825.16</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29" t="s">
        <v>185</v>
      </c>
      <c r="B114" s="712"/>
      <c r="C114" s="712"/>
      <c r="D114" s="712"/>
      <c r="E114" s="712"/>
      <c r="F114" s="712"/>
      <c r="G114" s="712"/>
      <c r="H114" s="709" t="s">
        <v>436</v>
      </c>
      <c r="I114" s="710">
        <f>IF(I111=1,J111,J109)</f>
        <v>5987406.4600000009</v>
      </c>
      <c r="J114" s="711">
        <f>ROUND(IF(E28=0,0,IF(E28&gt;250,-(((250/E28)*I114)*IF(H114="H",0.02,0.05)),IF(H114="H",-0.02*I114,-0.05*I114))),2)</f>
        <v>-42947.57</v>
      </c>
      <c r="M114" s="2"/>
      <c r="N114" s="3"/>
      <c r="R114" s="2"/>
      <c r="T114" s="4"/>
      <c r="W114" s="2"/>
      <c r="X114" s="5"/>
    </row>
    <row r="115" spans="1:26" s="285" customFormat="1" ht="16.5" customHeight="1" x14ac:dyDescent="0.25">
      <c r="A115" s="712"/>
      <c r="B115" s="712"/>
      <c r="C115" s="712"/>
      <c r="D115" s="712"/>
      <c r="E115" s="712"/>
      <c r="F115" s="712"/>
      <c r="G115" s="712"/>
      <c r="H115" s="712"/>
      <c r="I115" s="713"/>
      <c r="J115" s="714"/>
      <c r="K115" s="289"/>
      <c r="N115" s="290"/>
      <c r="S115" s="291"/>
      <c r="T115" s="291"/>
      <c r="U115" s="291"/>
      <c r="V115" s="291"/>
      <c r="W115" s="291"/>
      <c r="X115" s="291"/>
      <c r="Y115" s="291"/>
      <c r="Z115" s="291"/>
    </row>
    <row r="116" spans="1:26" s="285" customFormat="1" ht="16.5" customHeight="1" x14ac:dyDescent="0.25">
      <c r="A116" s="730" t="s">
        <v>186</v>
      </c>
      <c r="B116" s="715"/>
      <c r="C116" s="715"/>
      <c r="D116" s="715"/>
      <c r="E116" s="715"/>
      <c r="F116" s="715"/>
      <c r="G116" s="715"/>
      <c r="H116" s="715"/>
      <c r="I116" s="716"/>
      <c r="J116" s="717">
        <f>J107+J114</f>
        <v>6225768.6500000004</v>
      </c>
      <c r="K116" s="289"/>
      <c r="N116" s="290"/>
      <c r="S116" s="291"/>
      <c r="T116" s="291"/>
      <c r="U116" s="291"/>
      <c r="V116" s="291"/>
      <c r="W116" s="291"/>
      <c r="X116" s="291"/>
      <c r="Y116" s="291"/>
      <c r="Z116" s="291"/>
    </row>
    <row r="117" spans="1:26" s="285" customFormat="1" ht="16.5" customHeight="1" x14ac:dyDescent="0.25">
      <c r="A117" s="712"/>
      <c r="B117" s="712"/>
      <c r="C117" s="712"/>
      <c r="D117" s="712"/>
      <c r="E117" s="712"/>
      <c r="F117" s="712"/>
      <c r="G117" s="712"/>
      <c r="H117" s="712"/>
      <c r="I117" s="713"/>
      <c r="J117" s="714"/>
      <c r="K117" s="289"/>
      <c r="N117" s="290"/>
      <c r="S117" s="291"/>
      <c r="T117" s="291"/>
      <c r="U117" s="291"/>
      <c r="V117" s="291"/>
      <c r="W117" s="291"/>
      <c r="X117" s="291"/>
      <c r="Y117" s="291"/>
      <c r="Z117" s="291"/>
    </row>
    <row r="118" spans="1:26" s="285" customFormat="1" ht="16.5" customHeight="1" x14ac:dyDescent="0.25">
      <c r="A118" s="729" t="s">
        <v>187</v>
      </c>
      <c r="B118" s="712"/>
      <c r="C118" s="731"/>
      <c r="D118" s="712"/>
      <c r="E118" s="729"/>
      <c r="F118" s="729"/>
      <c r="G118" s="712"/>
      <c r="H118" s="712"/>
      <c r="I118" s="713"/>
      <c r="J118" s="718">
        <f>-'Cumulative Payments'!R91</f>
        <v>-3078165.02</v>
      </c>
      <c r="K118" s="289"/>
      <c r="N118" s="290"/>
      <c r="S118" s="291"/>
      <c r="T118" s="291"/>
      <c r="U118" s="291"/>
      <c r="V118" s="291"/>
      <c r="W118" s="291"/>
      <c r="X118" s="291"/>
      <c r="Y118" s="291"/>
      <c r="Z118" s="291"/>
    </row>
    <row r="119" spans="1:26" s="285" customFormat="1" ht="16.5" customHeight="1" x14ac:dyDescent="0.25">
      <c r="A119" s="712"/>
      <c r="B119" s="712"/>
      <c r="C119" s="712"/>
      <c r="D119" s="712"/>
      <c r="E119" s="712"/>
      <c r="F119" s="712"/>
      <c r="G119" s="712"/>
      <c r="H119" s="712"/>
      <c r="I119" s="713"/>
      <c r="J119" s="714"/>
      <c r="K119" s="289"/>
      <c r="N119" s="290"/>
      <c r="S119" s="291"/>
      <c r="T119" s="291"/>
      <c r="U119" s="291"/>
      <c r="V119" s="291"/>
      <c r="W119" s="291"/>
      <c r="X119" s="291"/>
      <c r="Y119" s="291"/>
      <c r="Z119" s="291"/>
    </row>
    <row r="120" spans="1:26" s="285" customFormat="1" ht="16.5" customHeight="1" x14ac:dyDescent="0.25">
      <c r="A120" s="729" t="s">
        <v>188</v>
      </c>
      <c r="B120" s="712"/>
      <c r="C120" s="712"/>
      <c r="D120" s="712"/>
      <c r="E120" s="712"/>
      <c r="F120" s="712"/>
      <c r="G120" s="712"/>
      <c r="H120" s="712"/>
      <c r="I120" s="713"/>
      <c r="J120" s="714">
        <f>J116+J118</f>
        <v>3147603.6300000004</v>
      </c>
      <c r="K120" s="289"/>
      <c r="N120" s="290"/>
      <c r="S120" s="291"/>
      <c r="T120" s="291"/>
      <c r="U120" s="291"/>
      <c r="V120" s="291"/>
      <c r="W120" s="291"/>
      <c r="X120" s="291"/>
      <c r="Y120" s="291"/>
      <c r="Z120" s="291"/>
    </row>
    <row r="121" spans="1:26" s="285" customFormat="1" ht="16.5" customHeight="1" x14ac:dyDescent="0.25">
      <c r="A121" s="729"/>
      <c r="B121" s="712"/>
      <c r="C121" s="712"/>
      <c r="D121" s="712"/>
      <c r="E121" s="712"/>
      <c r="F121" s="712"/>
      <c r="G121" s="712"/>
      <c r="H121" s="712"/>
      <c r="I121" s="713"/>
      <c r="J121" s="714"/>
      <c r="K121" s="289"/>
      <c r="N121" s="290"/>
      <c r="S121" s="291"/>
      <c r="T121" s="291"/>
      <c r="U121" s="291"/>
      <c r="V121" s="291"/>
      <c r="W121" s="291"/>
      <c r="X121" s="291"/>
      <c r="Y121" s="291"/>
      <c r="Z121" s="291"/>
    </row>
    <row r="122" spans="1:26" s="285" customFormat="1" ht="16.5" customHeight="1" x14ac:dyDescent="0.25">
      <c r="A122" s="729" t="s">
        <v>189</v>
      </c>
      <c r="B122" s="712"/>
      <c r="C122" s="712"/>
      <c r="D122" s="712"/>
      <c r="E122" s="712"/>
      <c r="F122" s="712"/>
      <c r="G122" s="712"/>
      <c r="H122" s="712"/>
      <c r="I122" s="713"/>
      <c r="J122" s="719">
        <f>'0040'!J122</f>
        <v>6</v>
      </c>
      <c r="K122" s="289"/>
      <c r="N122" s="290"/>
      <c r="S122" s="291"/>
      <c r="T122" s="291"/>
      <c r="U122" s="291"/>
      <c r="V122" s="291"/>
      <c r="W122" s="291"/>
      <c r="X122" s="291"/>
      <c r="Y122" s="291"/>
      <c r="Z122" s="291"/>
    </row>
    <row r="123" spans="1:26" s="285" customFormat="1" ht="16.5" customHeight="1" x14ac:dyDescent="0.25">
      <c r="A123" s="712"/>
      <c r="B123" s="712"/>
      <c r="C123" s="712"/>
      <c r="D123" s="712"/>
      <c r="E123" s="712"/>
      <c r="F123" s="712"/>
      <c r="G123" s="712"/>
      <c r="H123" s="712"/>
      <c r="I123" s="713"/>
      <c r="J123" s="714"/>
      <c r="K123" s="289"/>
      <c r="N123" s="290"/>
      <c r="S123" s="291"/>
      <c r="T123" s="291"/>
      <c r="U123" s="291"/>
      <c r="V123" s="291"/>
      <c r="W123" s="291"/>
      <c r="X123" s="291"/>
      <c r="Y123" s="291"/>
      <c r="Z123" s="291"/>
    </row>
    <row r="124" spans="1:26" s="285" customFormat="1" ht="16.5" customHeight="1" thickBot="1" x14ac:dyDescent="0.3">
      <c r="A124" s="729" t="s">
        <v>190</v>
      </c>
      <c r="B124" s="712"/>
      <c r="C124" s="712"/>
      <c r="D124" s="712"/>
      <c r="E124" s="712"/>
      <c r="F124" s="712"/>
      <c r="G124" s="712"/>
      <c r="H124" s="712"/>
      <c r="I124" s="713"/>
      <c r="J124" s="720">
        <f>ROUND(J120/J122,2)</f>
        <v>524600.61</v>
      </c>
      <c r="K124" s="289"/>
      <c r="N124" s="290"/>
      <c r="S124" s="291"/>
      <c r="T124" s="291"/>
      <c r="U124" s="291"/>
      <c r="V124" s="291"/>
      <c r="W124" s="291"/>
      <c r="X124" s="291"/>
      <c r="Y124" s="291"/>
      <c r="Z124" s="291"/>
    </row>
    <row r="125" spans="1:26" s="285" customFormat="1" ht="16.5" customHeight="1" thickTop="1" x14ac:dyDescent="0.25">
      <c r="A125" s="712"/>
      <c r="B125" s="712"/>
      <c r="C125" s="712"/>
      <c r="D125" s="712"/>
      <c r="E125" s="712"/>
      <c r="F125" s="712"/>
      <c r="G125" s="712"/>
      <c r="H125" s="712"/>
      <c r="I125" s="713"/>
      <c r="J125" s="714"/>
      <c r="K125" s="289"/>
      <c r="N125" s="290"/>
      <c r="S125" s="291"/>
      <c r="T125" s="291"/>
      <c r="U125" s="291"/>
      <c r="V125" s="291"/>
      <c r="W125" s="291"/>
      <c r="X125" s="291"/>
      <c r="Y125" s="291"/>
      <c r="Z125" s="291"/>
    </row>
    <row r="126" spans="1:26" s="285" customFormat="1" ht="16.5" customHeight="1" thickBot="1" x14ac:dyDescent="0.3">
      <c r="A126" s="729" t="s">
        <v>191</v>
      </c>
      <c r="B126" s="712"/>
      <c r="C126" s="712"/>
      <c r="D126" s="712"/>
      <c r="E126" s="712"/>
      <c r="F126" s="712"/>
      <c r="G126" s="712"/>
      <c r="H126" s="712"/>
      <c r="I126" s="713"/>
      <c r="J126" s="721">
        <f>ROUND(IF(H114="H",(I114*0.02)+J114,(I114*0.05)+J114),2)</f>
        <v>76800.56</v>
      </c>
      <c r="K126" s="289"/>
      <c r="N126" s="290"/>
      <c r="S126" s="291"/>
      <c r="T126" s="291"/>
      <c r="U126" s="291"/>
      <c r="V126" s="291"/>
      <c r="W126" s="291"/>
      <c r="X126" s="291"/>
      <c r="Y126" s="291"/>
      <c r="Z126" s="291"/>
    </row>
    <row r="127" spans="1:26" s="285" customFormat="1" ht="15.75" customHeight="1" thickTop="1" x14ac:dyDescent="0.25">
      <c r="A127" s="712"/>
      <c r="B127" s="712"/>
      <c r="C127" s="712"/>
      <c r="D127" s="712"/>
      <c r="E127" s="712"/>
      <c r="F127" s="712"/>
      <c r="G127" s="712"/>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76"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453</v>
      </c>
      <c r="B2" s="102"/>
      <c r="C2" s="102"/>
      <c r="D2" s="102"/>
      <c r="E2" s="100"/>
      <c r="F2" s="100"/>
      <c r="G2" s="100"/>
      <c r="H2" s="100"/>
      <c r="I2" s="100"/>
      <c r="J2" s="100"/>
      <c r="K2" s="6"/>
      <c r="L2" s="6"/>
      <c r="M2" s="6"/>
      <c r="N2" s="6"/>
      <c r="O2" s="6"/>
      <c r="P2" s="6"/>
      <c r="Q2" s="6"/>
      <c r="R2" s="873" t="str">
        <f>Revenue_Estimate_Worksheet_for___________Charter_School</f>
        <v>Revenue Estimate Worksheet: Everglades Preparatory Academy - 3398</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Second'!$C$1:$C$65536,MATCH('3398'!$A$1,'[1]Detail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7.96</v>
      </c>
      <c r="D14" s="415">
        <v>7.99</v>
      </c>
      <c r="E14" s="965">
        <f t="shared" si="0"/>
        <v>15.95</v>
      </c>
      <c r="F14" s="965"/>
      <c r="G14" s="966">
        <v>1</v>
      </c>
      <c r="H14" s="966"/>
      <c r="I14" s="578">
        <f t="shared" si="2"/>
        <v>15.95</v>
      </c>
      <c r="J14" s="579">
        <f>ROUND(ROUND(ROUND(I14*$E$6,4)*($I$6),2)*(MAX($I$7,1)),2)</f>
        <v>88735.07</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v>
      </c>
      <c r="D15" s="415">
        <v>1</v>
      </c>
      <c r="E15" s="965">
        <f t="shared" si="0"/>
        <v>2</v>
      </c>
      <c r="F15" s="965"/>
      <c r="G15" s="966">
        <v>1</v>
      </c>
      <c r="H15" s="966"/>
      <c r="I15" s="578">
        <f t="shared" si="2"/>
        <v>2</v>
      </c>
      <c r="J15" s="579">
        <f t="shared" si="1"/>
        <v>11126.65</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36.46</v>
      </c>
      <c r="D16" s="415">
        <v>35.090000000000003</v>
      </c>
      <c r="E16" s="965">
        <f t="shared" si="0"/>
        <v>71.550000000000011</v>
      </c>
      <c r="F16" s="965"/>
      <c r="G16" s="966">
        <v>0.97199999999999998</v>
      </c>
      <c r="H16" s="966"/>
      <c r="I16" s="578">
        <f t="shared" si="2"/>
        <v>69.546599999999998</v>
      </c>
      <c r="J16" s="579">
        <f t="shared" si="1"/>
        <v>386910.5</v>
      </c>
      <c r="M16" s="2"/>
      <c r="R16" s="858" t="s">
        <v>24</v>
      </c>
      <c r="S16" s="858"/>
      <c r="T16" s="889">
        <f t="shared" si="3"/>
        <v>0</v>
      </c>
      <c r="U16" s="889"/>
      <c r="V16" s="894">
        <v>1</v>
      </c>
      <c r="W16" s="894"/>
      <c r="X16" s="156">
        <f t="shared" si="4"/>
        <v>0</v>
      </c>
      <c r="Y16" s="266">
        <f t="shared" si="6"/>
        <v>0</v>
      </c>
    </row>
    <row r="17" spans="1:25" x14ac:dyDescent="0.25">
      <c r="A17" s="859" t="s">
        <v>25</v>
      </c>
      <c r="B17" s="859"/>
      <c r="C17" s="415">
        <v>9.52</v>
      </c>
      <c r="D17" s="415">
        <v>10.06</v>
      </c>
      <c r="E17" s="965">
        <f t="shared" si="0"/>
        <v>19.579999999999998</v>
      </c>
      <c r="F17" s="965"/>
      <c r="G17" s="966">
        <v>0.97199999999999998</v>
      </c>
      <c r="H17" s="966"/>
      <c r="I17" s="578">
        <f t="shared" si="2"/>
        <v>19.0318</v>
      </c>
      <c r="J17" s="579">
        <f t="shared" si="1"/>
        <v>105880.13</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0.83</v>
      </c>
      <c r="D26" s="415">
        <v>0.83</v>
      </c>
      <c r="E26" s="965">
        <f t="shared" si="0"/>
        <v>1.66</v>
      </c>
      <c r="F26" s="965"/>
      <c r="G26" s="966">
        <v>1.165</v>
      </c>
      <c r="H26" s="966"/>
      <c r="I26" s="578">
        <f t="shared" si="2"/>
        <v>1.9339</v>
      </c>
      <c r="J26" s="579">
        <f t="shared" si="1"/>
        <v>10758.92</v>
      </c>
      <c r="M26" s="2"/>
      <c r="R26" s="858" t="s">
        <v>34</v>
      </c>
      <c r="S26" s="858"/>
      <c r="T26" s="889">
        <f t="shared" si="3"/>
        <v>0</v>
      </c>
      <c r="U26" s="889"/>
      <c r="V26" s="894">
        <v>1</v>
      </c>
      <c r="W26" s="894"/>
      <c r="X26" s="156">
        <f t="shared" si="4"/>
        <v>0</v>
      </c>
      <c r="Y26" s="266">
        <f t="shared" si="6"/>
        <v>0</v>
      </c>
    </row>
    <row r="27" spans="1:25" x14ac:dyDescent="0.25">
      <c r="A27" s="864" t="s">
        <v>35</v>
      </c>
      <c r="B27" s="864"/>
      <c r="C27" s="416">
        <v>0.98</v>
      </c>
      <c r="D27" s="416">
        <v>2.93</v>
      </c>
      <c r="E27" s="961">
        <f t="shared" si="0"/>
        <v>3.91</v>
      </c>
      <c r="F27" s="961"/>
      <c r="G27" s="962">
        <v>1.081</v>
      </c>
      <c r="H27" s="962"/>
      <c r="I27" s="22">
        <f t="shared" si="2"/>
        <v>4.2267000000000001</v>
      </c>
      <c r="J27" s="127">
        <f t="shared" si="1"/>
        <v>23514.52</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56.749999999999993</v>
      </c>
      <c r="D28" s="126">
        <f>SUM(D12:D27)</f>
        <v>57.900000000000006</v>
      </c>
      <c r="E28" s="964">
        <f>SUM(E12:E27)</f>
        <v>114.65</v>
      </c>
      <c r="F28" s="964"/>
      <c r="G28" s="959"/>
      <c r="H28" s="959"/>
      <c r="I28" s="23">
        <f>SUM(I12:I27)</f>
        <v>112.68899999999999</v>
      </c>
      <c r="J28" s="127">
        <f>SUM(J12:J27)</f>
        <v>626925.79</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112.68899999999999</v>
      </c>
      <c r="H33" s="959" t="s">
        <v>45</v>
      </c>
      <c r="I33" s="959"/>
      <c r="J33" s="32">
        <f>SUM(J32,J28)</f>
        <v>626925.79</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617789.14</v>
      </c>
      <c r="H36" s="223" t="s">
        <v>49</v>
      </c>
      <c r="I36" s="38">
        <v>6.6699999999999995E-2</v>
      </c>
      <c r="J36" s="131">
        <f>ROUND(G36*I36,2)</f>
        <v>41206.54</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617789.14</v>
      </c>
      <c r="H37" s="223" t="s">
        <v>49</v>
      </c>
      <c r="I37" s="38">
        <v>5.4000000000000003E-3</v>
      </c>
      <c r="J37" s="131">
        <f>ROUND(G37*I37,2)</f>
        <v>3336.06</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44542.6</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v>
      </c>
      <c r="D44" s="415">
        <v>1</v>
      </c>
      <c r="E44" s="952">
        <f t="shared" si="7"/>
        <v>2</v>
      </c>
      <c r="F44" s="952"/>
      <c r="G44" s="47" t="s">
        <v>60</v>
      </c>
      <c r="H44" s="223">
        <v>251</v>
      </c>
      <c r="I44" s="136">
        <f>INDEX('[1]111-112-113 ADDITIONAL FUND'!G$1:G$65536,MATCH($A$1,'[1]111-112-113 ADDITIONAL FUND'!A$1:A$65536))</f>
        <v>1173</v>
      </c>
      <c r="J44" s="727">
        <f t="shared" si="8"/>
        <v>2346</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9.0299999999999994</v>
      </c>
      <c r="D47" s="415">
        <v>9.5399999999999991</v>
      </c>
      <c r="E47" s="952">
        <f t="shared" si="7"/>
        <v>18.57</v>
      </c>
      <c r="F47" s="952"/>
      <c r="G47" s="47" t="s">
        <v>61</v>
      </c>
      <c r="H47" s="223">
        <v>251</v>
      </c>
      <c r="I47" s="136">
        <f>INDEX('[1]111-112-113 ADDITIONAL FUND'!J$1:J$65536,MATCH($A$1,'[1]111-112-113 ADDITIONAL FUND'!A$1:A$65536))</f>
        <v>835</v>
      </c>
      <c r="J47" s="727">
        <f t="shared" si="8"/>
        <v>15505.95</v>
      </c>
      <c r="M47" s="2"/>
      <c r="R47" s="901"/>
      <c r="S47" s="901"/>
      <c r="T47" s="903"/>
      <c r="U47" s="903"/>
      <c r="V47" s="182" t="s">
        <v>61</v>
      </c>
      <c r="W47" s="239">
        <v>251</v>
      </c>
      <c r="X47" s="134">
        <f t="shared" si="9"/>
        <v>835</v>
      </c>
      <c r="Y47" s="269">
        <f t="shared" si="10"/>
        <v>0</v>
      </c>
    </row>
    <row r="48" spans="1:25" ht="15.75" customHeight="1" x14ac:dyDescent="0.25">
      <c r="A48" s="958"/>
      <c r="B48" s="958"/>
      <c r="C48" s="415">
        <v>0.49</v>
      </c>
      <c r="D48" s="415">
        <v>0.52</v>
      </c>
      <c r="E48" s="952">
        <f t="shared" si="7"/>
        <v>1.01</v>
      </c>
      <c r="F48" s="952"/>
      <c r="G48" s="47" t="s">
        <v>61</v>
      </c>
      <c r="H48" s="223">
        <v>252</v>
      </c>
      <c r="I48" s="136">
        <f>INDEX('[1]111-112-113 ADDITIONAL FUND'!K$1:K$65536,MATCH($A$1,'[1]111-112-113 ADDITIONAL FUND'!A$1:A$65536))</f>
        <v>3168</v>
      </c>
      <c r="J48" s="727">
        <f t="shared" si="8"/>
        <v>3199.68</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10.52</v>
      </c>
      <c r="D50" s="585">
        <f>SUM(D41:D49)</f>
        <v>11.059999999999999</v>
      </c>
      <c r="E50" s="954">
        <f>SUM(E41:E49)</f>
        <v>21.580000000000002</v>
      </c>
      <c r="F50" s="954"/>
      <c r="G50" s="910" t="s">
        <v>63</v>
      </c>
      <c r="H50" s="910"/>
      <c r="I50" s="910"/>
      <c r="J50" s="276">
        <f>SUM(J41:J49)</f>
        <v>21051.63</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114.65</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5.3200000000000003E-4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112.68899999999999</v>
      </c>
      <c r="U55" s="184" t="s">
        <v>66</v>
      </c>
      <c r="V55" s="185"/>
      <c r="W55" s="186" t="s">
        <v>71</v>
      </c>
      <c r="X55" s="917">
        <f>I56</f>
        <v>229051.25000000003</v>
      </c>
      <c r="Y55" s="917"/>
    </row>
    <row r="56" spans="1:25" ht="16.5" customHeight="1" x14ac:dyDescent="0.25">
      <c r="A56" s="897" t="s">
        <v>70</v>
      </c>
      <c r="B56" s="897"/>
      <c r="C56" s="237"/>
      <c r="D56" s="237"/>
      <c r="E56" s="48">
        <f>G33</f>
        <v>112.68899999999999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4.9200000000000003E-4</v>
      </c>
      <c r="Y56" s="918"/>
    </row>
    <row r="57" spans="1:25" ht="18.75" customHeight="1" x14ac:dyDescent="0.25">
      <c r="A57" s="237"/>
      <c r="H57" s="53" t="s">
        <v>68</v>
      </c>
      <c r="I57" s="943">
        <f>IFERROR(ROUND(E56/I56,6),0)</f>
        <v>4.9200000000000003E-4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114.65</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6.1600000000000001E-4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114.65</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5.3300000000000005E-4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114.65</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6.1700000000000004E-4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5.3300000000000005E-4</v>
      </c>
      <c r="J68" s="138">
        <f>ROUND(G68*I68,2)</f>
        <v>25205.97</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5.3200000000000003E-4</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6.1700000000000004E-4</v>
      </c>
      <c r="J71" s="138">
        <f>ROUND(G71*I71,2)</f>
        <v>11826.58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6.1600000000000001E-4</v>
      </c>
      <c r="J72" s="138">
        <f>ROUND(G72*I72,2)</f>
        <v>7112.88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4.9200000000000003E-4</v>
      </c>
      <c r="J85" s="138">
        <f>ROUND(G85*I85,2)</f>
        <v>132257.60999999999</v>
      </c>
      <c r="K85" s="70"/>
      <c r="L85" s="70"/>
      <c r="M85" s="71"/>
      <c r="N85" s="70"/>
      <c r="O85" s="70"/>
      <c r="P85" s="70"/>
      <c r="Q85" s="70"/>
      <c r="R85" s="860" t="s">
        <v>172</v>
      </c>
      <c r="S85" s="860"/>
      <c r="T85" s="860"/>
      <c r="U85" s="253"/>
      <c r="V85" s="171">
        <f>G85</f>
        <v>268816278</v>
      </c>
      <c r="W85" s="239" t="s">
        <v>81</v>
      </c>
      <c r="X85" s="176">
        <f>X56</f>
        <v>4.9200000000000003E-4</v>
      </c>
      <c r="Y85" s="266">
        <f t="shared" ref="Y85:Y87" si="12">ROUND(V85*X85,2)</f>
        <v>132257.60999999999</v>
      </c>
    </row>
    <row r="86" spans="1:26" ht="14.25" customHeight="1" x14ac:dyDescent="0.25">
      <c r="A86" s="896" t="s">
        <v>104</v>
      </c>
      <c r="B86" s="896"/>
      <c r="C86" s="896"/>
      <c r="D86" s="896"/>
      <c r="E86" s="896"/>
      <c r="F86" s="248" t="s">
        <v>103</v>
      </c>
      <c r="G86" s="139">
        <v>0</v>
      </c>
      <c r="H86" s="223" t="s">
        <v>81</v>
      </c>
      <c r="I86" s="41">
        <f>I57</f>
        <v>4.9200000000000003E-4</v>
      </c>
      <c r="J86" s="138">
        <f>ROUND(G86*I86,2)</f>
        <v>0</v>
      </c>
      <c r="K86" s="70"/>
      <c r="L86" s="71"/>
      <c r="M86" s="76"/>
      <c r="N86" s="76"/>
      <c r="O86" s="76"/>
      <c r="P86" s="76"/>
      <c r="Q86" s="70"/>
      <c r="R86" s="860" t="s">
        <v>173</v>
      </c>
      <c r="S86" s="860"/>
      <c r="T86" s="860"/>
      <c r="U86" s="253"/>
      <c r="V86" s="203">
        <f>G86</f>
        <v>0</v>
      </c>
      <c r="W86" s="239" t="s">
        <v>81</v>
      </c>
      <c r="X86" s="176">
        <f>X56</f>
        <v>4.9200000000000003E-4</v>
      </c>
      <c r="Y86" s="266">
        <f t="shared" si="12"/>
        <v>0</v>
      </c>
    </row>
    <row r="87" spans="1:26" ht="18" customHeight="1" x14ac:dyDescent="0.25">
      <c r="A87" s="896" t="s">
        <v>105</v>
      </c>
      <c r="B87" s="896"/>
      <c r="C87" s="896"/>
      <c r="D87" s="896"/>
      <c r="E87" s="896"/>
      <c r="F87" s="248" t="s">
        <v>84</v>
      </c>
      <c r="G87" s="139">
        <v>0</v>
      </c>
      <c r="H87" s="223" t="s">
        <v>81</v>
      </c>
      <c r="I87" s="41">
        <f>I54</f>
        <v>5.3200000000000003E-4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17.95</v>
      </c>
      <c r="C91" s="245"/>
      <c r="D91" s="867">
        <f>I6</f>
        <v>1.0355000000000001</v>
      </c>
      <c r="E91" s="867"/>
      <c r="F91" s="867"/>
      <c r="G91" s="122">
        <f>'[1]Detail 2025-26 FEFP Second'!AC3</f>
        <v>915.09</v>
      </c>
      <c r="H91" s="47" t="s">
        <v>68</v>
      </c>
      <c r="I91" s="727">
        <f>ROUND(B91*D91*G91,2)</f>
        <v>17008.98</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94.73899999999999</v>
      </c>
      <c r="C92" s="109"/>
      <c r="D92" s="867">
        <f>I6</f>
        <v>1.0355000000000001</v>
      </c>
      <c r="E92" s="867"/>
      <c r="F92" s="867"/>
      <c r="G92" s="122">
        <f>'[1]Detail 2025-26 FEFP Second'!AD3</f>
        <v>917.3</v>
      </c>
      <c r="H92" s="47" t="s">
        <v>68</v>
      </c>
      <c r="I92" s="727">
        <f>ROUND(B92*D92*G92,2)</f>
        <v>89989.18</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112.68899999999999</v>
      </c>
      <c r="C93" s="109"/>
      <c r="D93" s="109"/>
      <c r="E93" s="937" t="s">
        <v>112</v>
      </c>
      <c r="F93" s="937"/>
      <c r="G93" s="937"/>
      <c r="H93" s="937"/>
      <c r="I93" s="937"/>
      <c r="J93" s="127">
        <f>IF(A1=75,0,I92+I91+I90)</f>
        <v>106998.15999999999</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73</v>
      </c>
      <c r="D97" s="279">
        <v>82</v>
      </c>
      <c r="E97" s="989">
        <f>(C97+D97)/2</f>
        <v>77.5</v>
      </c>
      <c r="F97" s="940"/>
      <c r="G97" s="940"/>
      <c r="H97" s="224" t="s">
        <v>117</v>
      </c>
      <c r="I97" s="130">
        <f>IF(A1&gt;67,0,INDEX('[1]Transportation Per Student'!F$1:F$65536,MATCH(A1,'[1]Transportation Per Student'!B$1:B$65536)))</f>
        <v>617</v>
      </c>
      <c r="J97" s="138">
        <f>ROUND(I97*E97,2)</f>
        <v>47817.5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979196.12</v>
      </c>
      <c r="L107" s="576"/>
      <c r="R107" s="860" t="s">
        <v>125</v>
      </c>
      <c r="S107" s="860"/>
      <c r="T107" s="860"/>
      <c r="U107" s="860"/>
      <c r="V107" s="860"/>
      <c r="W107" s="860"/>
      <c r="X107" s="860"/>
      <c r="Y107" s="219">
        <f>SUM(Y106,Y105,Y97,Y96,Y93,Y86,Y85,Y84,Y70,Y69,Y67,Y33,Y71,Y50,Y87,Y83)</f>
        <v>132257.60999999999</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934653.52</v>
      </c>
      <c r="R109" s="170" t="s">
        <v>180</v>
      </c>
      <c r="S109" s="170"/>
      <c r="T109" s="170"/>
      <c r="U109" s="170"/>
      <c r="V109" s="170"/>
      <c r="W109" s="170"/>
      <c r="X109" s="170"/>
      <c r="Y109" s="220">
        <f>Y107-Y38</f>
        <v>132257.60999999999</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132257.60999999999</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c r="I114" s="710">
        <f>IF(I111=1,J111,J109)</f>
        <v>934653.52</v>
      </c>
      <c r="J114" s="711">
        <f>ROUND(IF(E28=0,0,IF(E28&gt;250,-(((250/E28)*I114)*IF(H114="H",0.02,0.05)),IF(H114="H",-0.02*I114,-0.05*I114))),2)</f>
        <v>-46732.68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932463.44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Payments'!R92</f>
        <v>-463419.33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469044.10999999993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78174.02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76"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454</v>
      </c>
      <c r="B2" s="102"/>
      <c r="C2" s="102"/>
      <c r="D2" s="102"/>
      <c r="E2" s="100"/>
      <c r="F2" s="100"/>
      <c r="G2" s="100"/>
      <c r="H2" s="100"/>
      <c r="I2" s="100"/>
      <c r="J2" s="100"/>
      <c r="K2" s="6"/>
      <c r="L2" s="6"/>
      <c r="M2" s="6"/>
      <c r="N2" s="6"/>
      <c r="O2" s="6"/>
      <c r="P2" s="6"/>
      <c r="Q2" s="6"/>
      <c r="R2" s="873" t="str">
        <f>Revenue_Estimate_Worksheet_for___________Charter_School</f>
        <v>Revenue Estimate Worksheet: Believers Academy - 3400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Second'!$C$1:$C$65536,MATCH('3400'!$A$1,'[1]Detail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2.5</v>
      </c>
      <c r="D15" s="415">
        <v>2.5</v>
      </c>
      <c r="E15" s="965">
        <f t="shared" si="0"/>
        <v>5</v>
      </c>
      <c r="F15" s="965"/>
      <c r="G15" s="966">
        <v>1</v>
      </c>
      <c r="H15" s="966"/>
      <c r="I15" s="578">
        <f t="shared" si="2"/>
        <v>5</v>
      </c>
      <c r="J15" s="579">
        <f t="shared" si="1"/>
        <v>27816.639999999999</v>
      </c>
      <c r="M15" s="2"/>
      <c r="R15" s="858" t="s">
        <v>23</v>
      </c>
      <c r="S15" s="858"/>
      <c r="T15" s="889">
        <f t="shared" si="3"/>
        <v>5</v>
      </c>
      <c r="U15" s="889"/>
      <c r="V15" s="894">
        <v>1</v>
      </c>
      <c r="W15" s="894"/>
      <c r="X15" s="156">
        <f t="shared" si="4"/>
        <v>5</v>
      </c>
      <c r="Y15" s="266">
        <f t="shared" ref="Y15:Y27" si="6">ROUND(ROUND(ROUND(X15*$E$6,4)*($I$6),2)*(MAX($I$7,1)),2)</f>
        <v>27816.639999999999</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45.46</v>
      </c>
      <c r="D17" s="415">
        <v>49.74</v>
      </c>
      <c r="E17" s="965">
        <f t="shared" si="0"/>
        <v>95.2</v>
      </c>
      <c r="F17" s="965"/>
      <c r="G17" s="966">
        <v>0.97199999999999998</v>
      </c>
      <c r="H17" s="966"/>
      <c r="I17" s="578">
        <f t="shared" si="2"/>
        <v>92.534400000000005</v>
      </c>
      <c r="J17" s="579">
        <f t="shared" si="1"/>
        <v>514799.15</v>
      </c>
      <c r="M17" s="2"/>
      <c r="R17" s="858" t="s">
        <v>25</v>
      </c>
      <c r="S17" s="858"/>
      <c r="T17" s="889">
        <f t="shared" si="3"/>
        <v>95.2</v>
      </c>
      <c r="U17" s="889"/>
      <c r="V17" s="894">
        <v>1</v>
      </c>
      <c r="W17" s="894"/>
      <c r="X17" s="156">
        <f t="shared" si="4"/>
        <v>95.2</v>
      </c>
      <c r="Y17" s="266">
        <f t="shared" si="6"/>
        <v>529628.76</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47.96</v>
      </c>
      <c r="D28" s="126">
        <f>SUM(D12:D27)</f>
        <v>52.24</v>
      </c>
      <c r="E28" s="964">
        <f>SUM(E12:E27)</f>
        <v>100.2</v>
      </c>
      <c r="F28" s="964"/>
      <c r="G28" s="959"/>
      <c r="H28" s="959"/>
      <c r="I28" s="23">
        <f>SUM(I12:I27)</f>
        <v>97.534400000000005</v>
      </c>
      <c r="J28" s="127">
        <f>SUM(J12:J27)</f>
        <v>542615.79</v>
      </c>
      <c r="M28" s="2"/>
      <c r="R28" s="905" t="s">
        <v>36</v>
      </c>
      <c r="S28" s="905"/>
      <c r="T28" s="906">
        <f>SUM(T12:T27)</f>
        <v>100.2</v>
      </c>
      <c r="U28" s="906"/>
      <c r="V28" s="907"/>
      <c r="W28" s="907"/>
      <c r="X28" s="158">
        <f>SUM(X12:X27)</f>
        <v>100.2</v>
      </c>
      <c r="Y28" s="266">
        <f>SUM(Y12:Y27)</f>
        <v>557445.4</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97.534400000000005</v>
      </c>
      <c r="H33" s="959" t="s">
        <v>45</v>
      </c>
      <c r="I33" s="959"/>
      <c r="J33" s="32">
        <f>SUM(J32,J28)</f>
        <v>542615.79</v>
      </c>
      <c r="M33" s="2"/>
      <c r="R33" s="909" t="s">
        <v>44</v>
      </c>
      <c r="S33" s="909"/>
      <c r="T33" s="909"/>
      <c r="U33" s="909"/>
      <c r="V33" s="164" t="e">
        <f>V32+X28</f>
        <v>#REF!</v>
      </c>
      <c r="W33" s="907" t="s">
        <v>45</v>
      </c>
      <c r="X33" s="907"/>
      <c r="Y33" s="165">
        <f>SUM(Y32,Y28)</f>
        <v>557445.4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519146.9</v>
      </c>
      <c r="H36" s="223" t="s">
        <v>49</v>
      </c>
      <c r="I36" s="38">
        <v>6.6699999999999995E-2</v>
      </c>
      <c r="J36" s="131">
        <f>ROUND(G36*I36,2)</f>
        <v>34627.1</v>
      </c>
      <c r="K36" s="39"/>
      <c r="L36" s="233"/>
      <c r="M36" s="233"/>
      <c r="N36" s="233"/>
      <c r="O36" s="31"/>
      <c r="P36" s="232"/>
      <c r="Q36" s="232"/>
      <c r="R36" s="858" t="s">
        <v>47</v>
      </c>
      <c r="S36" s="858"/>
      <c r="T36" s="858"/>
      <c r="U36" s="253"/>
      <c r="V36" s="172">
        <v>533300.56000000006</v>
      </c>
      <c r="W36" s="239" t="s">
        <v>49</v>
      </c>
      <c r="X36" s="174">
        <v>6.6699999999999995E-2</v>
      </c>
      <c r="Y36" s="266">
        <f>J36</f>
        <v>34627.1</v>
      </c>
    </row>
    <row r="37" spans="1:25" ht="20.25" customHeight="1" x14ac:dyDescent="0.25">
      <c r="A37" s="859" t="s">
        <v>50</v>
      </c>
      <c r="B37" s="859"/>
      <c r="C37" s="859"/>
      <c r="D37" s="859"/>
      <c r="E37" s="859"/>
      <c r="F37" s="248" t="s">
        <v>48</v>
      </c>
      <c r="G37" s="132">
        <v>519146.9</v>
      </c>
      <c r="H37" s="223" t="s">
        <v>49</v>
      </c>
      <c r="I37" s="38">
        <v>5.4000000000000003E-3</v>
      </c>
      <c r="J37" s="131">
        <f>ROUND(G37*I37,2)</f>
        <v>2803.39</v>
      </c>
      <c r="K37" s="39"/>
      <c r="L37" s="233"/>
      <c r="M37" s="233"/>
      <c r="N37" s="233"/>
      <c r="O37" s="31"/>
      <c r="P37" s="232"/>
      <c r="Q37" s="232"/>
      <c r="R37" s="858" t="s">
        <v>50</v>
      </c>
      <c r="S37" s="858"/>
      <c r="T37" s="858"/>
      <c r="U37" s="253"/>
      <c r="V37" s="172">
        <v>533300.56000000006</v>
      </c>
      <c r="W37" s="239" t="s">
        <v>49</v>
      </c>
      <c r="X37" s="174">
        <v>5.4000000000000003E-3</v>
      </c>
      <c r="Y37" s="266">
        <f>J37</f>
        <v>2803.39</v>
      </c>
    </row>
    <row r="38" spans="1:25" ht="20.25" customHeight="1" x14ac:dyDescent="0.25">
      <c r="A38" s="896" t="s">
        <v>51</v>
      </c>
      <c r="B38" s="896"/>
      <c r="C38" s="896"/>
      <c r="D38" s="896"/>
      <c r="E38" s="896"/>
      <c r="F38" s="248" t="s">
        <v>52</v>
      </c>
      <c r="G38" s="40"/>
      <c r="H38" s="223"/>
      <c r="I38" s="41"/>
      <c r="J38" s="131">
        <f>SUM(J36:J37)</f>
        <v>37430.49</v>
      </c>
      <c r="K38" s="39"/>
      <c r="L38" s="233"/>
      <c r="M38" s="233"/>
      <c r="N38" s="233"/>
      <c r="O38" s="31"/>
      <c r="P38" s="232"/>
      <c r="Q38" s="232"/>
      <c r="R38" s="860" t="s">
        <v>51</v>
      </c>
      <c r="S38" s="860"/>
      <c r="T38" s="860"/>
      <c r="U38" s="253" t="s">
        <v>52</v>
      </c>
      <c r="V38" s="175"/>
      <c r="W38" s="239"/>
      <c r="X38" s="176"/>
      <c r="Y38" s="195">
        <f>Y36+Y37</f>
        <v>37430.49</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72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2.5</v>
      </c>
      <c r="D45" s="415">
        <v>2.5</v>
      </c>
      <c r="E45" s="952">
        <f t="shared" si="7"/>
        <v>5</v>
      </c>
      <c r="F45" s="952"/>
      <c r="G45" s="47" t="s">
        <v>60</v>
      </c>
      <c r="H45" s="223">
        <v>252</v>
      </c>
      <c r="I45" s="136">
        <f>INDEX('[1]111-112-113 ADDITIONAL FUND'!H$1:H$65536,MATCH($A$1,'[1]111-112-113 ADDITIONAL FUND'!A$1:A$65536))</f>
        <v>3506</v>
      </c>
      <c r="J45" s="727">
        <f t="shared" si="8"/>
        <v>17530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0.4</v>
      </c>
      <c r="D47" s="415">
        <v>0.44</v>
      </c>
      <c r="E47" s="952">
        <f t="shared" si="7"/>
        <v>0.84000000000000008</v>
      </c>
      <c r="F47" s="952"/>
      <c r="G47" s="47" t="s">
        <v>61</v>
      </c>
      <c r="H47" s="223">
        <v>251</v>
      </c>
      <c r="I47" s="136">
        <f>INDEX('[1]111-112-113 ADDITIONAL FUND'!J$1:J$65536,MATCH($A$1,'[1]111-112-113 ADDITIONAL FUND'!A$1:A$65536))</f>
        <v>835</v>
      </c>
      <c r="J47" s="727">
        <f t="shared" si="8"/>
        <v>701.4</v>
      </c>
      <c r="M47" s="2"/>
      <c r="R47" s="901"/>
      <c r="S47" s="901"/>
      <c r="T47" s="903"/>
      <c r="U47" s="903"/>
      <c r="V47" s="182" t="s">
        <v>61</v>
      </c>
      <c r="W47" s="239">
        <v>251</v>
      </c>
      <c r="X47" s="134">
        <f t="shared" si="9"/>
        <v>835</v>
      </c>
      <c r="Y47" s="269">
        <f t="shared" si="10"/>
        <v>0</v>
      </c>
    </row>
    <row r="48" spans="1:25" ht="15.75" customHeight="1" x14ac:dyDescent="0.25">
      <c r="A48" s="958"/>
      <c r="B48" s="958"/>
      <c r="C48" s="415">
        <v>32.54</v>
      </c>
      <c r="D48" s="415">
        <v>35.6</v>
      </c>
      <c r="E48" s="952">
        <f t="shared" si="7"/>
        <v>68.14</v>
      </c>
      <c r="F48" s="952"/>
      <c r="G48" s="47" t="s">
        <v>61</v>
      </c>
      <c r="H48" s="223">
        <v>252</v>
      </c>
      <c r="I48" s="136">
        <f>INDEX('[1]111-112-113 ADDITIONAL FUND'!K$1:K$65536,MATCH($A$1,'[1]111-112-113 ADDITIONAL FUND'!A$1:A$65536))</f>
        <v>3168</v>
      </c>
      <c r="J48" s="727">
        <f t="shared" si="8"/>
        <v>215867.51999999999</v>
      </c>
      <c r="M48" s="2"/>
      <c r="R48" s="901"/>
      <c r="S48" s="901"/>
      <c r="T48" s="903"/>
      <c r="U48" s="903"/>
      <c r="V48" s="182" t="s">
        <v>61</v>
      </c>
      <c r="W48" s="239">
        <v>252</v>
      </c>
      <c r="X48" s="134">
        <f t="shared" si="9"/>
        <v>3168</v>
      </c>
      <c r="Y48" s="269">
        <f t="shared" si="10"/>
        <v>0</v>
      </c>
    </row>
    <row r="49" spans="1:25" ht="15.75" customHeight="1" thickBot="1" x14ac:dyDescent="0.3">
      <c r="A49" s="958"/>
      <c r="B49" s="958"/>
      <c r="C49" s="415">
        <v>12.52</v>
      </c>
      <c r="D49" s="415">
        <v>13.7</v>
      </c>
      <c r="E49" s="953">
        <f t="shared" si="7"/>
        <v>26.22</v>
      </c>
      <c r="F49" s="953"/>
      <c r="G49" s="47" t="s">
        <v>61</v>
      </c>
      <c r="H49" s="223">
        <v>253</v>
      </c>
      <c r="I49" s="136">
        <f>INDEX('[1]111-112-113 ADDITIONAL FUND'!L$1:L$65536,MATCH($A$1,'[1]111-112-113 ADDITIONAL FUND'!A$1:A$65536))</f>
        <v>6685</v>
      </c>
      <c r="J49" s="727">
        <f t="shared" si="8"/>
        <v>175280.7</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47.959999999999994</v>
      </c>
      <c r="D50" s="585">
        <f>SUM(D41:D49)</f>
        <v>52.239999999999995</v>
      </c>
      <c r="E50" s="954">
        <f>SUM(E41:E49)</f>
        <v>100.2</v>
      </c>
      <c r="F50" s="954"/>
      <c r="G50" s="910" t="s">
        <v>63</v>
      </c>
      <c r="H50" s="910"/>
      <c r="I50" s="910"/>
      <c r="J50" s="276">
        <f>SUM(J41:J49)</f>
        <v>409379.62</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100.2</v>
      </c>
      <c r="U52" s="184" t="s">
        <v>66</v>
      </c>
      <c r="V52" s="185"/>
      <c r="W52" s="186" t="s">
        <v>67</v>
      </c>
      <c r="X52" s="917">
        <f>I53</f>
        <v>215320.92</v>
      </c>
      <c r="Y52" s="917"/>
    </row>
    <row r="53" spans="1:25" ht="16.5" customHeight="1" x14ac:dyDescent="0.25">
      <c r="A53" s="897" t="s">
        <v>65</v>
      </c>
      <c r="B53" s="897"/>
      <c r="C53" s="237"/>
      <c r="D53" s="237"/>
      <c r="E53" s="48">
        <f>E28</f>
        <v>100.2</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4.6500000000000003E-4</v>
      </c>
      <c r="Y53" s="918"/>
    </row>
    <row r="54" spans="1:25" ht="22.5" customHeight="1" x14ac:dyDescent="0.25">
      <c r="A54" s="237"/>
      <c r="B54" s="230"/>
      <c r="C54" s="230"/>
      <c r="D54" s="230"/>
      <c r="H54" s="53" t="s">
        <v>68</v>
      </c>
      <c r="I54" s="943">
        <f>IFERROR(ROUND(E53/I53,6),0)</f>
        <v>4.6500000000000003E-4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100.2</v>
      </c>
      <c r="U55" s="184" t="s">
        <v>66</v>
      </c>
      <c r="V55" s="185"/>
      <c r="W55" s="186" t="s">
        <v>71</v>
      </c>
      <c r="X55" s="917">
        <f>I56</f>
        <v>229051.25000000003</v>
      </c>
      <c r="Y55" s="917"/>
    </row>
    <row r="56" spans="1:25" ht="16.5" customHeight="1" x14ac:dyDescent="0.25">
      <c r="A56" s="897" t="s">
        <v>70</v>
      </c>
      <c r="B56" s="897"/>
      <c r="C56" s="237"/>
      <c r="D56" s="237"/>
      <c r="E56" s="48">
        <f>G33</f>
        <v>97.534400000000005</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4.37E-4</v>
      </c>
      <c r="Y56" s="918"/>
    </row>
    <row r="57" spans="1:25" ht="18.75" customHeight="1" x14ac:dyDescent="0.25">
      <c r="A57" s="237"/>
      <c r="H57" s="53" t="s">
        <v>68</v>
      </c>
      <c r="I57" s="943">
        <f>IFERROR(ROUND(E56/I56,6),0)</f>
        <v>4.26E-4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100.2</v>
      </c>
      <c r="U58" s="184" t="s">
        <v>66</v>
      </c>
      <c r="V58" s="916" t="s">
        <v>74</v>
      </c>
      <c r="W58" s="916"/>
      <c r="X58" s="917">
        <f>I59</f>
        <v>186156.17</v>
      </c>
      <c r="Y58" s="917"/>
    </row>
    <row r="59" spans="1:25" ht="18.75" customHeight="1" x14ac:dyDescent="0.25">
      <c r="A59" s="897" t="s">
        <v>73</v>
      </c>
      <c r="B59" s="897"/>
      <c r="C59" s="237"/>
      <c r="D59" s="237"/>
      <c r="E59" s="48">
        <f>E28</f>
        <v>100.2</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5.3799999999999996E-4</v>
      </c>
      <c r="Y59" s="918"/>
    </row>
    <row r="60" spans="1:25" ht="18" customHeight="1" x14ac:dyDescent="0.25">
      <c r="A60" s="237"/>
      <c r="H60" s="53" t="s">
        <v>68</v>
      </c>
      <c r="I60" s="943">
        <f>IFERROR(ROUND(E59/I59,6),0)</f>
        <v>5.3799999999999996E-4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100.2</v>
      </c>
      <c r="U61" s="184" t="s">
        <v>66</v>
      </c>
      <c r="V61" s="916" t="s">
        <v>76</v>
      </c>
      <c r="W61" s="916"/>
      <c r="X61" s="917">
        <f>I62</f>
        <v>215016.58000000002</v>
      </c>
      <c r="Y61" s="917"/>
    </row>
    <row r="62" spans="1:25" ht="30.75" customHeight="1" x14ac:dyDescent="0.25">
      <c r="A62" s="897" t="s">
        <v>73</v>
      </c>
      <c r="B62" s="897"/>
      <c r="C62" s="237"/>
      <c r="D62" s="237"/>
      <c r="E62" s="48">
        <f>E28</f>
        <v>100.2</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4.66E-4</v>
      </c>
      <c r="Y62" s="918"/>
    </row>
    <row r="63" spans="1:25" ht="19.5" customHeight="1" x14ac:dyDescent="0.25">
      <c r="A63" s="237"/>
      <c r="H63" s="53" t="s">
        <v>68</v>
      </c>
      <c r="I63" s="943">
        <f>IFERROR(ROUND(E62/I62,6),0)</f>
        <v>4.66E-4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100.2</v>
      </c>
      <c r="U64" s="184" t="s">
        <v>66</v>
      </c>
      <c r="V64" s="916" t="s">
        <v>165</v>
      </c>
      <c r="W64" s="916"/>
      <c r="X64" s="917">
        <f>I65</f>
        <v>185851.83000000002</v>
      </c>
      <c r="Y64" s="917"/>
    </row>
    <row r="65" spans="1:26" ht="49.5" customHeight="1" x14ac:dyDescent="0.25">
      <c r="A65" s="897" t="s">
        <v>73</v>
      </c>
      <c r="B65" s="897"/>
      <c r="C65" s="237"/>
      <c r="D65" s="237"/>
      <c r="E65" s="48">
        <f>E28</f>
        <v>100.2</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5.3899999999999998E-4</v>
      </c>
      <c r="Y65" s="918"/>
    </row>
    <row r="66" spans="1:26" ht="19.5" customHeight="1" x14ac:dyDescent="0.25">
      <c r="A66" s="237"/>
      <c r="H66" s="53" t="s">
        <v>68</v>
      </c>
      <c r="I66" s="943">
        <f>IFERROR(ROUND(E65/I65,6),0)</f>
        <v>5.3899999999999998E-4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4.66E-4</v>
      </c>
      <c r="Y67" s="271">
        <f>ROUND(V67*X67,2)</f>
        <v>22037.49</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4.66E-4</v>
      </c>
      <c r="J68" s="138">
        <f>ROUND(G68*I68,2)</f>
        <v>22037.49</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4.6500000000000003E-4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4.6500000000000003E-4</v>
      </c>
      <c r="J70" s="138">
        <f>ROUND(G70*I70,2)</f>
        <v>0</v>
      </c>
      <c r="M70" s="2"/>
      <c r="R70" s="860" t="s">
        <v>167</v>
      </c>
      <c r="S70" s="860"/>
      <c r="T70" s="860"/>
      <c r="U70" s="253"/>
      <c r="V70" s="193">
        <f>G71</f>
        <v>19167881</v>
      </c>
      <c r="W70" s="239" t="s">
        <v>81</v>
      </c>
      <c r="X70" s="176">
        <f>X65</f>
        <v>5.3899999999999998E-4</v>
      </c>
      <c r="Y70" s="266">
        <f t="shared" si="11"/>
        <v>10331.49</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5.3899999999999998E-4</v>
      </c>
      <c r="J71" s="138">
        <f>ROUND(G71*I71,2)</f>
        <v>10331.49</v>
      </c>
      <c r="M71" s="2"/>
      <c r="R71" s="240" t="s">
        <v>168</v>
      </c>
      <c r="S71" s="240"/>
      <c r="T71" s="240"/>
      <c r="U71" s="253"/>
      <c r="V71" s="171">
        <f>G72</f>
        <v>11546889</v>
      </c>
      <c r="W71" s="239" t="s">
        <v>81</v>
      </c>
      <c r="X71" s="176">
        <f>X59</f>
        <v>5.3799999999999996E-4</v>
      </c>
      <c r="Y71" s="266">
        <f t="shared" si="11"/>
        <v>6212.23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5.3799999999999996E-4</v>
      </c>
      <c r="J72" s="138">
        <f>ROUND(G72*I72,2)</f>
        <v>6212.23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4.26E-4</v>
      </c>
      <c r="J85" s="138">
        <f>ROUND(G85*I85,2)</f>
        <v>114515.73</v>
      </c>
      <c r="K85" s="70"/>
      <c r="L85" s="70"/>
      <c r="M85" s="71"/>
      <c r="N85" s="70"/>
      <c r="O85" s="70"/>
      <c r="P85" s="70"/>
      <c r="Q85" s="70"/>
      <c r="R85" s="860" t="s">
        <v>172</v>
      </c>
      <c r="S85" s="860"/>
      <c r="T85" s="860"/>
      <c r="U85" s="253"/>
      <c r="V85" s="171">
        <f>G85</f>
        <v>268816278</v>
      </c>
      <c r="W85" s="239" t="s">
        <v>81</v>
      </c>
      <c r="X85" s="176">
        <f>X56</f>
        <v>4.37E-4</v>
      </c>
      <c r="Y85" s="266">
        <f t="shared" ref="Y85:Y87" si="12">ROUND(V85*X85,2)</f>
        <v>117472.71</v>
      </c>
    </row>
    <row r="86" spans="1:26" ht="14.25" customHeight="1" x14ac:dyDescent="0.25">
      <c r="A86" s="896" t="s">
        <v>104</v>
      </c>
      <c r="B86" s="896"/>
      <c r="C86" s="896"/>
      <c r="D86" s="896"/>
      <c r="E86" s="896"/>
      <c r="F86" s="248" t="s">
        <v>103</v>
      </c>
      <c r="G86" s="139">
        <v>0</v>
      </c>
      <c r="H86" s="223" t="s">
        <v>81</v>
      </c>
      <c r="I86" s="41">
        <f>I57</f>
        <v>4.26E-4</v>
      </c>
      <c r="J86" s="138">
        <f>ROUND(G86*I86,2)</f>
        <v>0</v>
      </c>
      <c r="K86" s="70"/>
      <c r="L86" s="71"/>
      <c r="M86" s="76"/>
      <c r="N86" s="76"/>
      <c r="O86" s="76"/>
      <c r="P86" s="76"/>
      <c r="Q86" s="70"/>
      <c r="R86" s="860" t="s">
        <v>173</v>
      </c>
      <c r="S86" s="860"/>
      <c r="T86" s="860"/>
      <c r="U86" s="253"/>
      <c r="V86" s="203">
        <f>G86</f>
        <v>0</v>
      </c>
      <c r="W86" s="239" t="s">
        <v>81</v>
      </c>
      <c r="X86" s="176">
        <f>X56</f>
        <v>4.37E-4</v>
      </c>
      <c r="Y86" s="266">
        <f t="shared" si="12"/>
        <v>0</v>
      </c>
    </row>
    <row r="87" spans="1:26" ht="18" customHeight="1" x14ac:dyDescent="0.25">
      <c r="A87" s="896" t="s">
        <v>105</v>
      </c>
      <c r="B87" s="896"/>
      <c r="C87" s="896"/>
      <c r="D87" s="896"/>
      <c r="E87" s="896"/>
      <c r="F87" s="248" t="s">
        <v>84</v>
      </c>
      <c r="G87" s="139">
        <v>0</v>
      </c>
      <c r="H87" s="223" t="s">
        <v>81</v>
      </c>
      <c r="I87" s="41">
        <f>I54</f>
        <v>4.6500000000000003E-4</v>
      </c>
      <c r="J87" s="62">
        <f>ROUND(G87*I87,2)</f>
        <v>0</v>
      </c>
      <c r="K87" s="77"/>
      <c r="L87" s="70"/>
      <c r="M87" s="71"/>
      <c r="N87" s="70"/>
      <c r="O87" s="70"/>
      <c r="P87" s="70"/>
      <c r="Q87" s="70"/>
      <c r="R87" s="240" t="s">
        <v>174</v>
      </c>
      <c r="S87" s="240"/>
      <c r="T87" s="240"/>
      <c r="U87" s="253"/>
      <c r="V87" s="203">
        <f>G87</f>
        <v>0</v>
      </c>
      <c r="W87" s="239" t="s">
        <v>81</v>
      </c>
      <c r="X87" s="176">
        <f>X53</f>
        <v>4.6500000000000003E-4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v>
      </c>
      <c r="C91" s="245"/>
      <c r="D91" s="867">
        <f>I6</f>
        <v>1.0355000000000001</v>
      </c>
      <c r="E91" s="867"/>
      <c r="F91" s="867"/>
      <c r="G91" s="122">
        <f>'[1]Detail 2025-26 FEFP Second'!AC3</f>
        <v>915.09</v>
      </c>
      <c r="H91" s="47" t="s">
        <v>68</v>
      </c>
      <c r="I91" s="140">
        <f>ROUND(B91*D91*G91,2)</f>
        <v>4737.88</v>
      </c>
      <c r="K91" s="70"/>
      <c r="L91" s="70"/>
      <c r="M91" s="71"/>
      <c r="N91" s="70"/>
      <c r="O91" s="70"/>
      <c r="P91" s="70"/>
      <c r="Q91" s="70"/>
      <c r="R91" s="206" t="s">
        <v>60</v>
      </c>
      <c r="S91" s="251">
        <f>X14+X15+X19+X22+X25</f>
        <v>5</v>
      </c>
      <c r="T91" s="922">
        <f>X6</f>
        <v>1.0355000000000001</v>
      </c>
      <c r="U91" s="922"/>
      <c r="V91" s="122">
        <f>G91</f>
        <v>915.09</v>
      </c>
      <c r="W91" s="182" t="s">
        <v>68</v>
      </c>
      <c r="X91" s="272">
        <f>ROUND(S91*T91*V91,2)</f>
        <v>4737.88</v>
      </c>
      <c r="Y91" s="170"/>
    </row>
    <row r="92" spans="1:26" ht="19.5" customHeight="1" thickBot="1" x14ac:dyDescent="0.3">
      <c r="A92" s="83" t="s">
        <v>61</v>
      </c>
      <c r="B92" s="109">
        <f>I16+I17+I20+I23+I26+I27</f>
        <v>92.534400000000005</v>
      </c>
      <c r="C92" s="109"/>
      <c r="D92" s="867">
        <f>I6</f>
        <v>1.0355000000000001</v>
      </c>
      <c r="E92" s="867"/>
      <c r="F92" s="867"/>
      <c r="G92" s="122">
        <f>'[1]Detail 2025-26 FEFP Second'!AD3</f>
        <v>917.3</v>
      </c>
      <c r="H92" s="47" t="s">
        <v>68</v>
      </c>
      <c r="I92" s="575">
        <f>ROUND(B92*D92*G92,2)</f>
        <v>87895.11</v>
      </c>
      <c r="K92" s="70"/>
      <c r="L92" s="70"/>
      <c r="M92" s="71"/>
      <c r="N92" s="70"/>
      <c r="O92" s="70"/>
      <c r="P92" s="70"/>
      <c r="Q92" s="70"/>
      <c r="R92" s="207" t="s">
        <v>61</v>
      </c>
      <c r="S92" s="208">
        <f>X16+X17+X20+X23+X26+X27</f>
        <v>95.2</v>
      </c>
      <c r="T92" s="922">
        <f>X6</f>
        <v>1.0355000000000001</v>
      </c>
      <c r="U92" s="922"/>
      <c r="V92" s="122">
        <f>G92</f>
        <v>917.3</v>
      </c>
      <c r="W92" s="182" t="s">
        <v>68</v>
      </c>
      <c r="X92" s="272">
        <f>ROUND(S92*T92*V92,2)</f>
        <v>90427.07</v>
      </c>
      <c r="Y92" s="170"/>
    </row>
    <row r="93" spans="1:26" ht="18.75" customHeight="1" thickBot="1" x14ac:dyDescent="0.3">
      <c r="A93" s="247" t="s">
        <v>111</v>
      </c>
      <c r="B93" s="109">
        <f>SUM(B90:B92)</f>
        <v>97.534400000000005</v>
      </c>
      <c r="C93" s="109"/>
      <c r="D93" s="109"/>
      <c r="E93" s="937" t="s">
        <v>112</v>
      </c>
      <c r="F93" s="937"/>
      <c r="G93" s="937"/>
      <c r="H93" s="937"/>
      <c r="I93" s="937"/>
      <c r="J93" s="127">
        <f>IF(A1=75,0,I92+I91+I90)</f>
        <v>92632.99</v>
      </c>
      <c r="K93" s="70"/>
      <c r="L93" s="70"/>
      <c r="M93" s="71"/>
      <c r="N93" s="70"/>
      <c r="O93" s="70"/>
      <c r="P93" s="70"/>
      <c r="Q93" s="70"/>
      <c r="R93" s="252" t="s">
        <v>111</v>
      </c>
      <c r="S93" s="210">
        <f>SUM(S90:S92)</f>
        <v>100.2</v>
      </c>
      <c r="T93" s="923" t="s">
        <v>112</v>
      </c>
      <c r="U93" s="924"/>
      <c r="V93" s="924"/>
      <c r="W93" s="924"/>
      <c r="X93" s="924"/>
      <c r="Y93" s="266">
        <f>IF(R1=75,0,X92+X91+X90)</f>
        <v>95164.950000000012</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40.5</v>
      </c>
      <c r="U96" s="928"/>
      <c r="V96" s="928"/>
      <c r="W96" s="261" t="s">
        <v>117</v>
      </c>
      <c r="X96" s="212">
        <f>I97</f>
        <v>617</v>
      </c>
      <c r="Y96" s="266">
        <f>ROUND(X96*T96,2)</f>
        <v>24988.5</v>
      </c>
    </row>
    <row r="97" spans="1:25" ht="17.25" customHeight="1" x14ac:dyDescent="0.25">
      <c r="A97" s="910" t="s">
        <v>116</v>
      </c>
      <c r="B97" s="910"/>
      <c r="C97" s="279">
        <v>40</v>
      </c>
      <c r="D97" s="279">
        <v>41</v>
      </c>
      <c r="E97" s="989">
        <f>(C97+D97)/2</f>
        <v>40.5</v>
      </c>
      <c r="F97" s="940"/>
      <c r="G97" s="940"/>
      <c r="H97" s="224" t="s">
        <v>117</v>
      </c>
      <c r="I97" s="130">
        <f>IF(A1&gt;67,0,INDEX('[1]Transportation Per Student'!F$1:F$65536,MATCH(A1,'[1]Transportation Per Student'!B$1:B$65536)))</f>
        <v>617</v>
      </c>
      <c r="J97" s="138">
        <f>ROUND(I97*E97,2)</f>
        <v>24988.5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1222713.8399999999</v>
      </c>
      <c r="L107" s="576"/>
      <c r="R107" s="860" t="s">
        <v>125</v>
      </c>
      <c r="S107" s="860"/>
      <c r="T107" s="860"/>
      <c r="U107" s="860"/>
      <c r="V107" s="860"/>
      <c r="W107" s="860"/>
      <c r="X107" s="860"/>
      <c r="Y107" s="219">
        <f>SUM(Y106,Y105,Y97,Y96,Y93,Y86,Y85,Y84,Y70,Y69,Y67,Y33,Y71,Y50,Y87,Y83)</f>
        <v>833652.77</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1185283.3499999999</v>
      </c>
      <c r="R109" s="170" t="s">
        <v>180</v>
      </c>
      <c r="S109" s="170"/>
      <c r="T109" s="170"/>
      <c r="U109" s="170"/>
      <c r="V109" s="170"/>
      <c r="W109" s="170"/>
      <c r="X109" s="170"/>
      <c r="Y109" s="220">
        <f>Y107-Y38</f>
        <v>796222.28</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v>1</v>
      </c>
      <c r="J111" s="137">
        <f>Y109</f>
        <v>796222.28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796222.28</v>
      </c>
      <c r="J114" s="296">
        <f>ROUND(IF(E28=0,0,IF(E28&gt;250,-(((250/E28)*I114)*IF(H114="H",0.02,0.05)),IF(H114="H",-0.02*I114,-0.05*I114))),2)</f>
        <v>-39811.11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1182902.7299999997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Payments'!R93</f>
        <v>-582615.27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600287.45999999973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100047.91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81"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455</v>
      </c>
      <c r="B2" s="102"/>
      <c r="C2" s="102"/>
      <c r="D2" s="102"/>
      <c r="E2" s="100"/>
      <c r="F2" s="100"/>
      <c r="G2" s="100"/>
      <c r="H2" s="100"/>
      <c r="I2" s="100"/>
      <c r="J2" s="100"/>
      <c r="K2" s="6"/>
      <c r="L2" s="6"/>
      <c r="M2" s="6"/>
      <c r="N2" s="6"/>
      <c r="O2" s="6"/>
      <c r="P2" s="6"/>
      <c r="Q2" s="6"/>
      <c r="R2" s="873" t="str">
        <f>Revenue_Estimate_Worksheet_for___________Charter_School</f>
        <v>Revenue Estimate Worksheet: Quantum High School - 3401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Second'!$C$1:$C$65536,MATCH('3401'!$A$1,'[1]Detail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0.5</v>
      </c>
      <c r="D14" s="415">
        <v>1.92</v>
      </c>
      <c r="E14" s="965">
        <f t="shared" si="0"/>
        <v>2.42</v>
      </c>
      <c r="F14" s="965"/>
      <c r="G14" s="966">
        <v>1</v>
      </c>
      <c r="H14" s="966"/>
      <c r="I14" s="578">
        <f t="shared" si="2"/>
        <v>2.42</v>
      </c>
      <c r="J14" s="579">
        <f>ROUND(ROUND(ROUND(I14*$E$6,4)*($I$6),2)*(MAX($I$7,1)),2)</f>
        <v>13463.25</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0.5</v>
      </c>
      <c r="D15" s="415">
        <v>2.41</v>
      </c>
      <c r="E15" s="965">
        <f t="shared" si="0"/>
        <v>2.91</v>
      </c>
      <c r="F15" s="965"/>
      <c r="G15" s="966">
        <v>1</v>
      </c>
      <c r="H15" s="966"/>
      <c r="I15" s="578">
        <f t="shared" si="2"/>
        <v>2.91</v>
      </c>
      <c r="J15" s="579">
        <f t="shared" si="1"/>
        <v>16189.28</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159.62</v>
      </c>
      <c r="D16" s="415">
        <v>166.84</v>
      </c>
      <c r="E16" s="965">
        <f t="shared" si="0"/>
        <v>326.46000000000004</v>
      </c>
      <c r="F16" s="965"/>
      <c r="G16" s="966">
        <v>0.97199999999999998</v>
      </c>
      <c r="H16" s="966"/>
      <c r="I16" s="578">
        <f t="shared" si="2"/>
        <v>317.31909999999999</v>
      </c>
      <c r="J16" s="579">
        <f t="shared" si="1"/>
        <v>1765350.01</v>
      </c>
      <c r="M16" s="2"/>
      <c r="R16" s="858" t="s">
        <v>24</v>
      </c>
      <c r="S16" s="858"/>
      <c r="T16" s="889">
        <f t="shared" si="3"/>
        <v>0</v>
      </c>
      <c r="U16" s="889"/>
      <c r="V16" s="894">
        <v>1</v>
      </c>
      <c r="W16" s="894"/>
      <c r="X16" s="156">
        <f t="shared" si="4"/>
        <v>0</v>
      </c>
      <c r="Y16" s="266">
        <f t="shared" si="6"/>
        <v>0</v>
      </c>
    </row>
    <row r="17" spans="1:25" x14ac:dyDescent="0.25">
      <c r="A17" s="859" t="s">
        <v>25</v>
      </c>
      <c r="B17" s="859"/>
      <c r="C17" s="415">
        <v>39.229999999999997</v>
      </c>
      <c r="D17" s="415">
        <v>37.86</v>
      </c>
      <c r="E17" s="965">
        <f t="shared" si="0"/>
        <v>77.09</v>
      </c>
      <c r="F17" s="965"/>
      <c r="G17" s="966">
        <v>0.97199999999999998</v>
      </c>
      <c r="H17" s="966"/>
      <c r="I17" s="578">
        <f t="shared" si="2"/>
        <v>74.9315</v>
      </c>
      <c r="J17" s="579">
        <f t="shared" si="1"/>
        <v>416868.46</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11.28</v>
      </c>
      <c r="D26" s="415">
        <v>12.71</v>
      </c>
      <c r="E26" s="965">
        <f t="shared" si="0"/>
        <v>23.990000000000002</v>
      </c>
      <c r="F26" s="965"/>
      <c r="G26" s="966">
        <v>1.165</v>
      </c>
      <c r="H26" s="966"/>
      <c r="I26" s="578">
        <f t="shared" si="2"/>
        <v>27.948399999999999</v>
      </c>
      <c r="J26" s="579">
        <f t="shared" si="1"/>
        <v>155486.1</v>
      </c>
      <c r="M26" s="2"/>
      <c r="R26" s="858" t="s">
        <v>34</v>
      </c>
      <c r="S26" s="858"/>
      <c r="T26" s="889">
        <f t="shared" si="3"/>
        <v>0</v>
      </c>
      <c r="U26" s="889"/>
      <c r="V26" s="894">
        <v>1</v>
      </c>
      <c r="W26" s="894"/>
      <c r="X26" s="156">
        <f t="shared" si="4"/>
        <v>0</v>
      </c>
      <c r="Y26" s="266">
        <f t="shared" si="6"/>
        <v>0</v>
      </c>
    </row>
    <row r="27" spans="1:25" x14ac:dyDescent="0.25">
      <c r="A27" s="864" t="s">
        <v>35</v>
      </c>
      <c r="B27" s="864"/>
      <c r="C27" s="416">
        <v>1.7</v>
      </c>
      <c r="D27" s="416">
        <v>1.8</v>
      </c>
      <c r="E27" s="961">
        <f t="shared" si="0"/>
        <v>3.5</v>
      </c>
      <c r="F27" s="961"/>
      <c r="G27" s="962">
        <v>1.081</v>
      </c>
      <c r="H27" s="962"/>
      <c r="I27" s="22">
        <f t="shared" si="2"/>
        <v>3.7835000000000001</v>
      </c>
      <c r="J27" s="127">
        <f t="shared" si="1"/>
        <v>21048.85</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212.82999999999998</v>
      </c>
      <c r="D28" s="126">
        <f>SUM(D12:D27)</f>
        <v>223.54000000000005</v>
      </c>
      <c r="E28" s="964">
        <f>SUM(E12:E27)</f>
        <v>436.37</v>
      </c>
      <c r="F28" s="964"/>
      <c r="G28" s="959"/>
      <c r="H28" s="959"/>
      <c r="I28" s="23">
        <f>SUM(I12:I27)</f>
        <v>429.3125</v>
      </c>
      <c r="J28" s="127">
        <f>SUM(J12:J27)</f>
        <v>2388405.9500000002</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429.3125</v>
      </c>
      <c r="H33" s="959" t="s">
        <v>45</v>
      </c>
      <c r="I33" s="959"/>
      <c r="J33" s="32">
        <f>SUM(J32,J28)</f>
        <v>2388405.9500000002</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2328441.0699999998</v>
      </c>
      <c r="H36" s="223" t="s">
        <v>49</v>
      </c>
      <c r="I36" s="38">
        <v>6.6699999999999995E-2</v>
      </c>
      <c r="J36" s="131">
        <f>ROUND(G36*I36,2)</f>
        <v>155307.01999999999</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2328441.0699999998</v>
      </c>
      <c r="H37" s="223" t="s">
        <v>49</v>
      </c>
      <c r="I37" s="38">
        <v>5.4000000000000003E-3</v>
      </c>
      <c r="J37" s="131">
        <f>ROUND(G37*I37,2)</f>
        <v>12573.58</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167880.59999999998</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0.5</v>
      </c>
      <c r="D44" s="415">
        <v>2.41</v>
      </c>
      <c r="E44" s="952">
        <f t="shared" si="7"/>
        <v>2.91</v>
      </c>
      <c r="F44" s="952"/>
      <c r="G44" s="47" t="s">
        <v>60</v>
      </c>
      <c r="H44" s="223">
        <v>251</v>
      </c>
      <c r="I44" s="136">
        <f>INDEX('[1]111-112-113 ADDITIONAL FUND'!G$1:G$65536,MATCH($A$1,'[1]111-112-113 ADDITIONAL FUND'!A$1:A$65536))</f>
        <v>1173</v>
      </c>
      <c r="J44" s="727">
        <f t="shared" si="8"/>
        <v>3413.43</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c r="D46" s="415"/>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34.76</v>
      </c>
      <c r="D47" s="415">
        <v>33.549999999999997</v>
      </c>
      <c r="E47" s="952">
        <f t="shared" si="7"/>
        <v>68.31</v>
      </c>
      <c r="F47" s="952"/>
      <c r="G47" s="47" t="s">
        <v>61</v>
      </c>
      <c r="H47" s="223">
        <v>251</v>
      </c>
      <c r="I47" s="136">
        <f>INDEX('[1]111-112-113 ADDITIONAL FUND'!J$1:J$65536,MATCH($A$1,'[1]111-112-113 ADDITIONAL FUND'!A$1:A$65536))</f>
        <v>835</v>
      </c>
      <c r="J47" s="727">
        <f t="shared" si="8"/>
        <v>57038.85</v>
      </c>
      <c r="M47" s="2"/>
      <c r="R47" s="901"/>
      <c r="S47" s="901"/>
      <c r="T47" s="903"/>
      <c r="U47" s="903"/>
      <c r="V47" s="182" t="s">
        <v>61</v>
      </c>
      <c r="W47" s="239">
        <v>251</v>
      </c>
      <c r="X47" s="134">
        <f t="shared" si="9"/>
        <v>835</v>
      </c>
      <c r="Y47" s="269">
        <f t="shared" si="10"/>
        <v>0</v>
      </c>
    </row>
    <row r="48" spans="1:25" ht="15.75" customHeight="1" x14ac:dyDescent="0.25">
      <c r="A48" s="958"/>
      <c r="B48" s="958"/>
      <c r="C48" s="415">
        <v>3.97</v>
      </c>
      <c r="D48" s="415">
        <v>3.83</v>
      </c>
      <c r="E48" s="952">
        <f t="shared" si="7"/>
        <v>7.8000000000000007</v>
      </c>
      <c r="F48" s="952"/>
      <c r="G48" s="47" t="s">
        <v>61</v>
      </c>
      <c r="H48" s="223">
        <v>252</v>
      </c>
      <c r="I48" s="136">
        <f>INDEX('[1]111-112-113 ADDITIONAL FUND'!K$1:K$65536,MATCH($A$1,'[1]111-112-113 ADDITIONAL FUND'!A$1:A$65536))</f>
        <v>3168</v>
      </c>
      <c r="J48" s="727">
        <f t="shared" si="8"/>
        <v>24710.400000000001</v>
      </c>
      <c r="M48" s="2"/>
      <c r="R48" s="901"/>
      <c r="S48" s="901"/>
      <c r="T48" s="903"/>
      <c r="U48" s="903"/>
      <c r="V48" s="182" t="s">
        <v>61</v>
      </c>
      <c r="W48" s="239">
        <v>252</v>
      </c>
      <c r="X48" s="134">
        <f t="shared" si="9"/>
        <v>3168</v>
      </c>
      <c r="Y48" s="269">
        <f t="shared" si="10"/>
        <v>0</v>
      </c>
    </row>
    <row r="49" spans="1:25" ht="15.75" customHeight="1" thickBot="1" x14ac:dyDescent="0.3">
      <c r="A49" s="958"/>
      <c r="B49" s="958"/>
      <c r="C49" s="415">
        <v>0.5</v>
      </c>
      <c r="D49" s="415">
        <v>0.48</v>
      </c>
      <c r="E49" s="953">
        <f t="shared" si="7"/>
        <v>0.98</v>
      </c>
      <c r="F49" s="953"/>
      <c r="G49" s="47" t="s">
        <v>61</v>
      </c>
      <c r="H49" s="223">
        <v>253</v>
      </c>
      <c r="I49" s="136">
        <f>INDEX('[1]111-112-113 ADDITIONAL FUND'!L$1:L$65536,MATCH($A$1,'[1]111-112-113 ADDITIONAL FUND'!A$1:A$65536))</f>
        <v>6685</v>
      </c>
      <c r="J49" s="727">
        <f t="shared" si="8"/>
        <v>6551.3</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39.729999999999997</v>
      </c>
      <c r="D50" s="585">
        <f>SUM(D41:D49)</f>
        <v>40.269999999999989</v>
      </c>
      <c r="E50" s="954">
        <f>SUM(E41:E49)</f>
        <v>80</v>
      </c>
      <c r="F50" s="954"/>
      <c r="G50" s="910" t="s">
        <v>63</v>
      </c>
      <c r="H50" s="910"/>
      <c r="I50" s="910"/>
      <c r="J50" s="276">
        <f>SUM(J41:J49)</f>
        <v>91713.98</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436.37</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2.0270000000000002E-3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429.3125</v>
      </c>
      <c r="U55" s="184" t="s">
        <v>66</v>
      </c>
      <c r="V55" s="185"/>
      <c r="W55" s="186" t="s">
        <v>71</v>
      </c>
      <c r="X55" s="917">
        <f>I56</f>
        <v>229051.25000000003</v>
      </c>
      <c r="Y55" s="917"/>
    </row>
    <row r="56" spans="1:25" ht="16.5" customHeight="1" x14ac:dyDescent="0.25">
      <c r="A56" s="897" t="s">
        <v>70</v>
      </c>
      <c r="B56" s="897"/>
      <c r="C56" s="237"/>
      <c r="D56" s="237"/>
      <c r="E56" s="48">
        <f>G33</f>
        <v>429.3125</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1.874E-3</v>
      </c>
      <c r="Y56" s="918"/>
    </row>
    <row r="57" spans="1:25" ht="18.75" customHeight="1" x14ac:dyDescent="0.25">
      <c r="A57" s="237"/>
      <c r="H57" s="53" t="s">
        <v>68</v>
      </c>
      <c r="I57" s="943">
        <f>IFERROR(ROUND(E56/I56,6),0)</f>
        <v>1.874E-3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436.37</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2.3440000000000002E-3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436.37</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2.029E-3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436.37</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2.3479999999999998E-3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2.029E-3</v>
      </c>
      <c r="J68" s="138">
        <f>ROUND(G68*I68,2)</f>
        <v>95952.93</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2.0270000000000002E-3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2.3479999999999998E-3</v>
      </c>
      <c r="J71" s="138">
        <f>ROUND(G71*I71,2)</f>
        <v>45006.18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2.3440000000000002E-3</v>
      </c>
      <c r="J72" s="138">
        <f>ROUND(G72*I72,2)</f>
        <v>27065.91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3.25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66" t="s">
        <v>101</v>
      </c>
      <c r="B84" s="866"/>
      <c r="C84" s="866"/>
      <c r="D84" s="230"/>
      <c r="G84" s="121">
        <f>INDEX('[1]Detail 2025-26 FEFP Second'!O$1:O$65536,MATCH(A1,'[1]Detail 2025-26 FEFP Second'!A$1:A$65536))</f>
        <v>63269727</v>
      </c>
      <c r="H84" s="223" t="s">
        <v>81</v>
      </c>
      <c r="I84" s="41">
        <f>IFERROR(ROUND(J81/J82,6),0)</f>
        <v>2.8400000000000002E-4</v>
      </c>
      <c r="J84" s="728">
        <f>ROUND(G84*I84,2)</f>
        <v>17968.599999999999</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1.874E-3</v>
      </c>
      <c r="J85" s="728">
        <f>ROUND(G85*I85,2)</f>
        <v>503761.7</v>
      </c>
      <c r="K85" s="70"/>
      <c r="L85" s="70"/>
      <c r="M85" s="71"/>
      <c r="N85" s="70"/>
      <c r="O85" s="70"/>
      <c r="P85" s="70"/>
      <c r="Q85" s="70"/>
      <c r="R85" s="860" t="s">
        <v>172</v>
      </c>
      <c r="S85" s="860"/>
      <c r="T85" s="860"/>
      <c r="U85" s="253"/>
      <c r="V85" s="171">
        <f>G85</f>
        <v>268816278</v>
      </c>
      <c r="W85" s="239" t="s">
        <v>81</v>
      </c>
      <c r="X85" s="176">
        <f>X56</f>
        <v>1.874E-3</v>
      </c>
      <c r="Y85" s="266">
        <f t="shared" ref="Y85:Y87" si="12">ROUND(V85*X85,2)</f>
        <v>503761.7</v>
      </c>
    </row>
    <row r="86" spans="1:26" ht="14.25" customHeight="1" x14ac:dyDescent="0.25">
      <c r="A86" s="896" t="s">
        <v>104</v>
      </c>
      <c r="B86" s="896"/>
      <c r="C86" s="896"/>
      <c r="D86" s="896"/>
      <c r="E86" s="896"/>
      <c r="F86" s="248" t="s">
        <v>103</v>
      </c>
      <c r="G86" s="139">
        <v>0</v>
      </c>
      <c r="H86" s="223" t="s">
        <v>81</v>
      </c>
      <c r="I86" s="41">
        <f>I57</f>
        <v>1.874E-3</v>
      </c>
      <c r="J86" s="728">
        <f>ROUND(G86*I86,2)</f>
        <v>0</v>
      </c>
      <c r="K86" s="70"/>
      <c r="L86" s="71"/>
      <c r="M86" s="76"/>
      <c r="N86" s="76"/>
      <c r="O86" s="76"/>
      <c r="P86" s="76"/>
      <c r="Q86" s="70"/>
      <c r="R86" s="860" t="s">
        <v>173</v>
      </c>
      <c r="S86" s="860"/>
      <c r="T86" s="860"/>
      <c r="U86" s="253"/>
      <c r="V86" s="203">
        <f>G86</f>
        <v>0</v>
      </c>
      <c r="W86" s="239" t="s">
        <v>81</v>
      </c>
      <c r="X86" s="176">
        <f>X56</f>
        <v>1.874E-3</v>
      </c>
      <c r="Y86" s="266">
        <f t="shared" si="12"/>
        <v>0</v>
      </c>
    </row>
    <row r="87" spans="1:26" ht="18" customHeight="1" x14ac:dyDescent="0.25">
      <c r="A87" s="896" t="s">
        <v>105</v>
      </c>
      <c r="B87" s="896"/>
      <c r="C87" s="896"/>
      <c r="D87" s="896"/>
      <c r="E87" s="896"/>
      <c r="F87" s="248" t="s">
        <v>84</v>
      </c>
      <c r="G87" s="139">
        <v>0</v>
      </c>
      <c r="H87" s="223" t="s">
        <v>81</v>
      </c>
      <c r="I87" s="41">
        <f>I54</f>
        <v>2.0270000000000002E-3</v>
      </c>
      <c r="J87" s="72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5.33</v>
      </c>
      <c r="C91" s="245"/>
      <c r="D91" s="867">
        <f>I6</f>
        <v>1.0355000000000001</v>
      </c>
      <c r="E91" s="867"/>
      <c r="F91" s="867"/>
      <c r="G91" s="122">
        <f>'[1]Detail 2025-26 FEFP Second'!AC3</f>
        <v>915.09</v>
      </c>
      <c r="H91" s="47" t="s">
        <v>68</v>
      </c>
      <c r="I91" s="727">
        <f>ROUND(B91*D91*G91,2)</f>
        <v>5050.58</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423.98249999999996</v>
      </c>
      <c r="C92" s="109"/>
      <c r="D92" s="867">
        <f>I6</f>
        <v>1.0355000000000001</v>
      </c>
      <c r="E92" s="867"/>
      <c r="F92" s="867"/>
      <c r="G92" s="122">
        <f>'[1]Detail 2025-26 FEFP Second'!AD3</f>
        <v>917.3</v>
      </c>
      <c r="H92" s="47" t="s">
        <v>68</v>
      </c>
      <c r="I92" s="727">
        <f>ROUND(B92*D92*G92,2)</f>
        <v>402725.78</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429.31249999999994</v>
      </c>
      <c r="C93" s="109"/>
      <c r="D93" s="109"/>
      <c r="E93" s="937" t="s">
        <v>112</v>
      </c>
      <c r="F93" s="937"/>
      <c r="G93" s="937"/>
      <c r="H93" s="937"/>
      <c r="I93" s="937"/>
      <c r="J93" s="127">
        <f>IF(A1=75,0,I92+I91+I90)</f>
        <v>407776.36000000004</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276</v>
      </c>
      <c r="D97" s="279">
        <v>308</v>
      </c>
      <c r="E97" s="989">
        <f>(C97+D97)/2</f>
        <v>292</v>
      </c>
      <c r="F97" s="940"/>
      <c r="G97" s="940"/>
      <c r="H97" s="224" t="s">
        <v>117</v>
      </c>
      <c r="I97" s="130">
        <f>IF(A1&gt;67,0,INDEX('[1]Transportation Per Student'!F$1:F$65536,MATCH(A1,'[1]Transportation Per Student'!B$1:B$65536)))</f>
        <v>617</v>
      </c>
      <c r="J97" s="138">
        <f>ROUND(I97*E97,2)</f>
        <v>180164</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3757815.6100000003</v>
      </c>
      <c r="L107" s="576"/>
      <c r="R107" s="860" t="s">
        <v>125</v>
      </c>
      <c r="S107" s="860"/>
      <c r="T107" s="860"/>
      <c r="U107" s="860"/>
      <c r="V107" s="860"/>
      <c r="W107" s="860"/>
      <c r="X107" s="860"/>
      <c r="Y107" s="219">
        <f>SUM(Y106,Y105,Y97,Y96,Y93,Y86,Y85,Y84,Y70,Y69,Y67,Y33,Y71,Y50,Y87,Y83)</f>
        <v>503761.7</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3589935.0100000002</v>
      </c>
      <c r="R109" s="170" t="s">
        <v>180</v>
      </c>
      <c r="S109" s="170"/>
      <c r="T109" s="170"/>
      <c r="U109" s="170"/>
      <c r="V109" s="170"/>
      <c r="W109" s="170"/>
      <c r="X109" s="170"/>
      <c r="Y109" s="220">
        <f>Y107-Y38</f>
        <v>503761.7</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503761.7</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3589935.0100000002</v>
      </c>
      <c r="J114" s="296">
        <f>ROUND(IF(E28=0,0,IF(E28&gt;250,-(((250/E28)*I114)*IF(H114="H",0.02,0.05)),IF(H114="H",-0.02*I114,-0.05*I114))),2)</f>
        <v>-102835.18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3654980.43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Payments'!R94</f>
        <v>-1808803.3799999997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1846177.0500000005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307696.18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76661.570000000007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76"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456</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Boca East - 3413</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Second'!$C$1:$C$65536,MATCH('3413'!$A$1,'[1]Detail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99.81</v>
      </c>
      <c r="D12" s="411">
        <v>97.12</v>
      </c>
      <c r="E12" s="979">
        <f t="shared" ref="E12:E27" si="0">IF($D$28=0,C12*2,C12+D12)</f>
        <v>196.93</v>
      </c>
      <c r="F12" s="979"/>
      <c r="G12" s="980">
        <v>1.1080000000000001</v>
      </c>
      <c r="H12" s="980"/>
      <c r="I12" s="578">
        <f>ROUND(E12*G12,4)</f>
        <v>218.19839999999999</v>
      </c>
      <c r="J12" s="579">
        <f t="shared" ref="J12:J27" si="1">ROUND(ROUND(ROUND(I12*$E$6,4)*($I$6),2)*(MAX($I$7,1)),2)</f>
        <v>1213909.1200000001</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18</v>
      </c>
      <c r="D13" s="415">
        <v>21.5</v>
      </c>
      <c r="E13" s="965">
        <f t="shared" si="0"/>
        <v>39.5</v>
      </c>
      <c r="F13" s="965"/>
      <c r="G13" s="966">
        <v>1.1080000000000001</v>
      </c>
      <c r="H13" s="966"/>
      <c r="I13" s="578">
        <f t="shared" ref="I13:I27" si="2">ROUND(E13*G13,4)</f>
        <v>43.765999999999998</v>
      </c>
      <c r="J13" s="579">
        <f t="shared" si="1"/>
        <v>243484.58</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47.68</v>
      </c>
      <c r="D14" s="415">
        <v>46.27</v>
      </c>
      <c r="E14" s="965">
        <f t="shared" si="0"/>
        <v>93.95</v>
      </c>
      <c r="F14" s="965"/>
      <c r="G14" s="966">
        <v>1</v>
      </c>
      <c r="H14" s="966"/>
      <c r="I14" s="578">
        <f t="shared" si="2"/>
        <v>93.95</v>
      </c>
      <c r="J14" s="579">
        <f>ROUND(ROUND(ROUND(I14*$E$6,4)*($I$6),2)*(MAX($I$7,1)),2)</f>
        <v>522674.6</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15</v>
      </c>
      <c r="D15" s="415">
        <v>16</v>
      </c>
      <c r="E15" s="965">
        <f t="shared" si="0"/>
        <v>31</v>
      </c>
      <c r="F15" s="965"/>
      <c r="G15" s="966">
        <v>1</v>
      </c>
      <c r="H15" s="966"/>
      <c r="I15" s="578">
        <f t="shared" si="2"/>
        <v>31</v>
      </c>
      <c r="J15" s="579">
        <f t="shared" si="1"/>
        <v>172463.15</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11.69</v>
      </c>
      <c r="D24" s="415">
        <v>11.36</v>
      </c>
      <c r="E24" s="965">
        <f t="shared" si="0"/>
        <v>23.049999999999997</v>
      </c>
      <c r="F24" s="965"/>
      <c r="G24" s="966">
        <v>1.165</v>
      </c>
      <c r="H24" s="966"/>
      <c r="I24" s="578">
        <f t="shared" si="2"/>
        <v>26.853300000000001</v>
      </c>
      <c r="J24" s="579">
        <f t="shared" si="1"/>
        <v>149393.70000000001</v>
      </c>
      <c r="M24" s="2"/>
      <c r="R24" s="858" t="s">
        <v>32</v>
      </c>
      <c r="S24" s="858"/>
      <c r="T24" s="889">
        <f t="shared" si="3"/>
        <v>0</v>
      </c>
      <c r="U24" s="889"/>
      <c r="V24" s="894">
        <v>1</v>
      </c>
      <c r="W24" s="894"/>
      <c r="X24" s="156">
        <f t="shared" si="4"/>
        <v>0</v>
      </c>
      <c r="Y24" s="266">
        <f t="shared" si="6"/>
        <v>0</v>
      </c>
    </row>
    <row r="25" spans="1:25" x14ac:dyDescent="0.25">
      <c r="A25" s="859" t="s">
        <v>33</v>
      </c>
      <c r="B25" s="859"/>
      <c r="C25" s="415">
        <v>2.83</v>
      </c>
      <c r="D25" s="415">
        <v>2.75</v>
      </c>
      <c r="E25" s="965">
        <f t="shared" si="0"/>
        <v>5.58</v>
      </c>
      <c r="F25" s="965"/>
      <c r="G25" s="966">
        <v>1.165</v>
      </c>
      <c r="H25" s="966"/>
      <c r="I25" s="578">
        <f t="shared" si="2"/>
        <v>6.5007000000000001</v>
      </c>
      <c r="J25" s="579">
        <f t="shared" si="1"/>
        <v>36165.519999999997</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195.01000000000002</v>
      </c>
      <c r="D28" s="126">
        <f>SUM(D12:D27)</f>
        <v>195</v>
      </c>
      <c r="E28" s="964">
        <f>SUM(E12:E27)</f>
        <v>390.01</v>
      </c>
      <c r="F28" s="964"/>
      <c r="G28" s="959"/>
      <c r="H28" s="959"/>
      <c r="I28" s="23">
        <f>SUM(I12:I27)</f>
        <v>420.26839999999999</v>
      </c>
      <c r="J28" s="127">
        <f>SUM(J12:J27)</f>
        <v>2338090.6700000004</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420.26839999999999</v>
      </c>
      <c r="H33" s="959" t="s">
        <v>45</v>
      </c>
      <c r="I33" s="959"/>
      <c r="J33" s="32">
        <f>SUM(J32,J28)</f>
        <v>2338090.6700000004</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2338036.14</v>
      </c>
      <c r="H36" s="223" t="s">
        <v>49</v>
      </c>
      <c r="I36" s="38">
        <v>6.6699999999999995E-2</v>
      </c>
      <c r="J36" s="131">
        <f>ROUND(G36*I36,2)</f>
        <v>155947.01</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2338036.14</v>
      </c>
      <c r="H37" s="223" t="s">
        <v>49</v>
      </c>
      <c r="I37" s="38">
        <v>5.4000000000000003E-3</v>
      </c>
      <c r="J37" s="131">
        <f>ROUND(G37*I37,2)</f>
        <v>12625.4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168572.41</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16.5</v>
      </c>
      <c r="D41" s="415">
        <v>19.71</v>
      </c>
      <c r="E41" s="952">
        <f t="shared" ref="E41:E49" si="7">IF($D$50=0,C41*2,C41+D41)</f>
        <v>36.21</v>
      </c>
      <c r="F41" s="952"/>
      <c r="G41" s="223" t="s">
        <v>59</v>
      </c>
      <c r="H41" s="223">
        <v>251</v>
      </c>
      <c r="I41" s="136">
        <f>INDEX('[1]111-112-113 ADDITIONAL FUND'!D$1:D$65536,MATCH($A$1,'[1]111-112-113 ADDITIONAL FUND'!A$1:A$65536))</f>
        <v>1047</v>
      </c>
      <c r="J41" s="727">
        <f t="shared" ref="J41:J49" si="8">ROUND(E41*I41,2)</f>
        <v>37911.870000000003</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1.5</v>
      </c>
      <c r="D42" s="415">
        <v>1.79</v>
      </c>
      <c r="E42" s="952">
        <f t="shared" si="7"/>
        <v>3.29</v>
      </c>
      <c r="F42" s="952"/>
      <c r="G42" s="223" t="s">
        <v>59</v>
      </c>
      <c r="H42" s="223">
        <v>252</v>
      </c>
      <c r="I42" s="136">
        <f>INDEX('[1]111-112-113 ADDITIONAL FUND'!E$1:E$65536,MATCH($A$1,'[1]111-112-113 ADDITIONAL FUND'!A$1:A$65536))</f>
        <v>3380</v>
      </c>
      <c r="J42" s="727">
        <f t="shared" si="8"/>
        <v>11120.2</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14</v>
      </c>
      <c r="D44" s="415">
        <v>14.93</v>
      </c>
      <c r="E44" s="952">
        <f t="shared" si="7"/>
        <v>28.93</v>
      </c>
      <c r="F44" s="952"/>
      <c r="G44" s="47" t="s">
        <v>60</v>
      </c>
      <c r="H44" s="223">
        <v>251</v>
      </c>
      <c r="I44" s="136">
        <f>INDEX('[1]111-112-113 ADDITIONAL FUND'!G$1:G$65536,MATCH($A$1,'[1]111-112-113 ADDITIONAL FUND'!A$1:A$65536))</f>
        <v>1173</v>
      </c>
      <c r="J44" s="727">
        <f t="shared" si="8"/>
        <v>33934.89</v>
      </c>
      <c r="L44" s="3"/>
      <c r="M44" s="2"/>
      <c r="Q44" s="4"/>
      <c r="R44" s="901"/>
      <c r="S44" s="901"/>
      <c r="T44" s="903"/>
      <c r="U44" s="903"/>
      <c r="V44" s="182" t="s">
        <v>60</v>
      </c>
      <c r="W44" s="239">
        <v>251</v>
      </c>
      <c r="X44" s="134">
        <f t="shared" si="9"/>
        <v>1173</v>
      </c>
      <c r="Y44" s="269">
        <f t="shared" si="10"/>
        <v>0</v>
      </c>
    </row>
    <row r="45" spans="1:25" x14ac:dyDescent="0.25">
      <c r="A45" s="958"/>
      <c r="B45" s="958"/>
      <c r="C45" s="415">
        <v>1</v>
      </c>
      <c r="D45" s="415">
        <v>1.07</v>
      </c>
      <c r="E45" s="952">
        <f t="shared" si="7"/>
        <v>2.0700000000000003</v>
      </c>
      <c r="F45" s="952"/>
      <c r="G45" s="47" t="s">
        <v>60</v>
      </c>
      <c r="H45" s="223">
        <v>252</v>
      </c>
      <c r="I45" s="136">
        <f>INDEX('[1]111-112-113 ADDITIONAL FUND'!H$1:H$65536,MATCH($A$1,'[1]111-112-113 ADDITIONAL FUND'!A$1:A$65536))</f>
        <v>3506</v>
      </c>
      <c r="J45" s="727">
        <f t="shared" si="8"/>
        <v>7257.42</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33</v>
      </c>
      <c r="D50" s="585">
        <f>SUM(D41:D49)</f>
        <v>37.5</v>
      </c>
      <c r="E50" s="954">
        <f>SUM(E41:E49)</f>
        <v>70.5</v>
      </c>
      <c r="F50" s="954"/>
      <c r="G50" s="910" t="s">
        <v>63</v>
      </c>
      <c r="H50" s="910"/>
      <c r="I50" s="910"/>
      <c r="J50" s="276">
        <f>SUM(J41:J49)</f>
        <v>90224.38</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390.01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1.8109999999999999E-3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420.26839999999999</v>
      </c>
      <c r="U55" s="184" t="s">
        <v>66</v>
      </c>
      <c r="V55" s="185"/>
      <c r="W55" s="186" t="s">
        <v>71</v>
      </c>
      <c r="X55" s="917">
        <f>I56</f>
        <v>229051.25000000003</v>
      </c>
      <c r="Y55" s="917"/>
    </row>
    <row r="56" spans="1:25" ht="16.5" customHeight="1" x14ac:dyDescent="0.25">
      <c r="A56" s="897" t="s">
        <v>70</v>
      </c>
      <c r="B56" s="897"/>
      <c r="C56" s="237"/>
      <c r="D56" s="237"/>
      <c r="E56" s="48">
        <f>G33</f>
        <v>420.26839999999999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1.835E-3</v>
      </c>
      <c r="Y56" s="918"/>
    </row>
    <row r="57" spans="1:25" ht="18.75" customHeight="1" x14ac:dyDescent="0.25">
      <c r="A57" s="237"/>
      <c r="H57" s="53" t="s">
        <v>68</v>
      </c>
      <c r="I57" s="943">
        <f>IFERROR(ROUND(E56/I56,6),0)</f>
        <v>1.835E-3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390.01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2.0950000000000001E-3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390.01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1.8140000000000001E-3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390.01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2.098E-3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1.8140000000000001E-3</v>
      </c>
      <c r="J68" s="138">
        <f>ROUND(G68*I68,2)</f>
        <v>85785.42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1.8109999999999999E-3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2.098E-3</v>
      </c>
      <c r="J71" s="138">
        <f>ROUND(G71*I71,2)</f>
        <v>40214.21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2.0950000000000001E-3</v>
      </c>
      <c r="J72" s="138">
        <f>ROUND(G72*I72,2)</f>
        <v>24190.73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1.835E-3</v>
      </c>
      <c r="J85" s="138">
        <f>ROUND(G85*I85,2)</f>
        <v>493277.87</v>
      </c>
      <c r="K85" s="70"/>
      <c r="L85" s="70"/>
      <c r="M85" s="71"/>
      <c r="N85" s="70"/>
      <c r="O85" s="70"/>
      <c r="P85" s="70"/>
      <c r="Q85" s="70"/>
      <c r="R85" s="860" t="s">
        <v>172</v>
      </c>
      <c r="S85" s="860"/>
      <c r="T85" s="860"/>
      <c r="U85" s="253"/>
      <c r="V85" s="171">
        <f>G85</f>
        <v>268816278</v>
      </c>
      <c r="W85" s="239" t="s">
        <v>81</v>
      </c>
      <c r="X85" s="176">
        <f>X56</f>
        <v>1.835E-3</v>
      </c>
      <c r="Y85" s="266">
        <f t="shared" ref="Y85:Y87" si="12">ROUND(V85*X85,2)</f>
        <v>493277.87</v>
      </c>
    </row>
    <row r="86" spans="1:26" ht="14.25" customHeight="1" x14ac:dyDescent="0.25">
      <c r="A86" s="896" t="s">
        <v>104</v>
      </c>
      <c r="B86" s="896"/>
      <c r="C86" s="896"/>
      <c r="D86" s="896"/>
      <c r="E86" s="896"/>
      <c r="F86" s="248" t="s">
        <v>103</v>
      </c>
      <c r="G86" s="139">
        <v>0</v>
      </c>
      <c r="H86" s="223" t="s">
        <v>81</v>
      </c>
      <c r="I86" s="41">
        <f>I57</f>
        <v>1.835E-3</v>
      </c>
      <c r="J86" s="138">
        <f>ROUND(G86*I86,2)</f>
        <v>0</v>
      </c>
      <c r="K86" s="70"/>
      <c r="L86" s="71"/>
      <c r="M86" s="76"/>
      <c r="N86" s="76"/>
      <c r="O86" s="76"/>
      <c r="P86" s="76"/>
      <c r="Q86" s="70"/>
      <c r="R86" s="860" t="s">
        <v>173</v>
      </c>
      <c r="S86" s="860"/>
      <c r="T86" s="860"/>
      <c r="U86" s="253"/>
      <c r="V86" s="203">
        <f>G86</f>
        <v>0</v>
      </c>
      <c r="W86" s="239" t="s">
        <v>81</v>
      </c>
      <c r="X86" s="176">
        <f>X56</f>
        <v>1.835E-3</v>
      </c>
      <c r="Y86" s="266">
        <f t="shared" si="12"/>
        <v>0</v>
      </c>
    </row>
    <row r="87" spans="1:26" ht="18" customHeight="1" x14ac:dyDescent="0.25">
      <c r="A87" s="896" t="s">
        <v>105</v>
      </c>
      <c r="B87" s="896"/>
      <c r="C87" s="896"/>
      <c r="D87" s="896"/>
      <c r="E87" s="896"/>
      <c r="F87" s="248" t="s">
        <v>84</v>
      </c>
      <c r="G87" s="139">
        <v>0</v>
      </c>
      <c r="H87" s="223" t="s">
        <v>81</v>
      </c>
      <c r="I87" s="41">
        <f>I54</f>
        <v>1.8109999999999999E-3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288.8177</v>
      </c>
      <c r="C90" s="245"/>
      <c r="D90" s="867">
        <f>I6</f>
        <v>1.0355000000000001</v>
      </c>
      <c r="E90" s="867"/>
      <c r="F90" s="867"/>
      <c r="G90" s="122">
        <f>'[1]Detail 2025-26 FEFP Second'!AB3</f>
        <v>958.42</v>
      </c>
      <c r="H90" s="47" t="s">
        <v>68</v>
      </c>
      <c r="I90" s="141">
        <f>ROUND(B90*D90*G90,2)</f>
        <v>286635.37</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131.45070000000001</v>
      </c>
      <c r="C91" s="245"/>
      <c r="D91" s="867">
        <f>I6</f>
        <v>1.0355000000000001</v>
      </c>
      <c r="E91" s="867"/>
      <c r="F91" s="867"/>
      <c r="G91" s="122">
        <f>'[1]Detail 2025-26 FEFP Second'!AC3</f>
        <v>915.09</v>
      </c>
      <c r="H91" s="47" t="s">
        <v>68</v>
      </c>
      <c r="I91" s="140">
        <f>ROUND(B91*D91*G91,2)</f>
        <v>124559.49</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420.26840000000004</v>
      </c>
      <c r="C93" s="109"/>
      <c r="D93" s="109"/>
      <c r="E93" s="937" t="s">
        <v>112</v>
      </c>
      <c r="F93" s="937"/>
      <c r="G93" s="937"/>
      <c r="H93" s="937"/>
      <c r="I93" s="937"/>
      <c r="J93" s="127">
        <f>IF(A1=75,0,I92+I91+I90)</f>
        <v>411194.86</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3482978.14</v>
      </c>
      <c r="L107" s="576"/>
      <c r="R107" s="860" t="s">
        <v>125</v>
      </c>
      <c r="S107" s="860"/>
      <c r="T107" s="860"/>
      <c r="U107" s="860"/>
      <c r="V107" s="860"/>
      <c r="W107" s="860"/>
      <c r="X107" s="860"/>
      <c r="Y107" s="219">
        <f>SUM(Y106,Y105,Y97,Y96,Y93,Y86,Y85,Y84,Y70,Y69,Y67,Y33,Y71,Y50,Y87,Y83)</f>
        <v>493277.87</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3314405.73</v>
      </c>
      <c r="R109" s="170" t="s">
        <v>180</v>
      </c>
      <c r="S109" s="170"/>
      <c r="T109" s="170"/>
      <c r="U109" s="170"/>
      <c r="V109" s="170"/>
      <c r="W109" s="170"/>
      <c r="X109" s="170"/>
      <c r="Y109" s="220">
        <f>Y107-Y38</f>
        <v>493277.87</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493277.87</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3314405.73</v>
      </c>
      <c r="J114" s="296">
        <f>ROUND(IF(E28=0,0,IF(E28&gt;250,-(((250/E28)*I114)*IF(H114="H",0.02,0.05)),IF(H114="H",-0.02*I114,-0.05*I114))),2)</f>
        <v>-42491.29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3440486.85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Payments'!R95</f>
        <v>-1717406.1600000001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1723080.69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287180.12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23796.82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84" workbookViewId="0">
      <selection activeCell="L103" sqref="L10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457</v>
      </c>
      <c r="B2" s="102"/>
      <c r="C2" s="102"/>
      <c r="D2" s="102"/>
      <c r="E2" s="100"/>
      <c r="F2" s="100"/>
      <c r="G2" s="100"/>
      <c r="H2" s="100"/>
      <c r="I2" s="100"/>
      <c r="J2" s="100"/>
      <c r="K2" s="6"/>
      <c r="L2" s="6"/>
      <c r="M2" s="6"/>
      <c r="N2" s="6"/>
      <c r="O2" s="6"/>
      <c r="P2" s="6"/>
      <c r="Q2" s="6"/>
      <c r="R2" s="873" t="str">
        <f>Revenue_Estimate_Worksheet_for___________Charter_School</f>
        <v>Revenue Estimate Worksheet: Worthington High School - 3421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Second'!$C$1:$C$65536,MATCH('3421'!$A$1,'[1]Detail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187.48</v>
      </c>
      <c r="D16" s="415">
        <v>212.82</v>
      </c>
      <c r="E16" s="965">
        <f t="shared" si="0"/>
        <v>400.29999999999995</v>
      </c>
      <c r="F16" s="965"/>
      <c r="G16" s="966">
        <v>0.97199999999999998</v>
      </c>
      <c r="H16" s="966"/>
      <c r="I16" s="578">
        <f t="shared" si="2"/>
        <v>389.09160000000003</v>
      </c>
      <c r="J16" s="579">
        <f t="shared" si="1"/>
        <v>2164643.92</v>
      </c>
      <c r="M16" s="2"/>
      <c r="R16" s="858" t="s">
        <v>24</v>
      </c>
      <c r="S16" s="858"/>
      <c r="T16" s="889">
        <f t="shared" si="3"/>
        <v>0</v>
      </c>
      <c r="U16" s="889"/>
      <c r="V16" s="894">
        <v>1</v>
      </c>
      <c r="W16" s="894"/>
      <c r="X16" s="156">
        <f t="shared" si="4"/>
        <v>0</v>
      </c>
      <c r="Y16" s="266">
        <f t="shared" si="6"/>
        <v>0</v>
      </c>
    </row>
    <row r="17" spans="1:25" x14ac:dyDescent="0.25">
      <c r="A17" s="859" t="s">
        <v>25</v>
      </c>
      <c r="B17" s="859"/>
      <c r="C17" s="415">
        <v>44.25</v>
      </c>
      <c r="D17" s="415">
        <v>49.7</v>
      </c>
      <c r="E17" s="965">
        <f t="shared" si="0"/>
        <v>93.95</v>
      </c>
      <c r="F17" s="965"/>
      <c r="G17" s="966">
        <v>0.97199999999999998</v>
      </c>
      <c r="H17" s="966"/>
      <c r="I17" s="578">
        <f t="shared" si="2"/>
        <v>91.319400000000002</v>
      </c>
      <c r="J17" s="579">
        <f t="shared" si="1"/>
        <v>508039.71</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4.47</v>
      </c>
      <c r="D26" s="415">
        <v>21.24</v>
      </c>
      <c r="E26" s="965">
        <f t="shared" si="0"/>
        <v>25.709999999999997</v>
      </c>
      <c r="F26" s="965"/>
      <c r="G26" s="966">
        <v>1.165</v>
      </c>
      <c r="H26" s="966"/>
      <c r="I26" s="578">
        <f t="shared" si="2"/>
        <v>29.952200000000001</v>
      </c>
      <c r="J26" s="579">
        <f t="shared" si="1"/>
        <v>166633.89000000001</v>
      </c>
      <c r="M26" s="2"/>
      <c r="R26" s="858" t="s">
        <v>34</v>
      </c>
      <c r="S26" s="858"/>
      <c r="T26" s="889">
        <f t="shared" si="3"/>
        <v>0</v>
      </c>
      <c r="U26" s="889"/>
      <c r="V26" s="894">
        <v>1</v>
      </c>
      <c r="W26" s="894"/>
      <c r="X26" s="156">
        <f t="shared" si="4"/>
        <v>0</v>
      </c>
      <c r="Y26" s="266">
        <f t="shared" si="6"/>
        <v>0</v>
      </c>
    </row>
    <row r="27" spans="1:25" x14ac:dyDescent="0.25">
      <c r="A27" s="864" t="s">
        <v>35</v>
      </c>
      <c r="B27" s="864"/>
      <c r="C27" s="416">
        <v>2.9</v>
      </c>
      <c r="D27" s="416">
        <v>2.48</v>
      </c>
      <c r="E27" s="961">
        <f t="shared" si="0"/>
        <v>5.38</v>
      </c>
      <c r="F27" s="961"/>
      <c r="G27" s="962">
        <v>1.081</v>
      </c>
      <c r="H27" s="962"/>
      <c r="I27" s="22">
        <f t="shared" si="2"/>
        <v>5.8158000000000003</v>
      </c>
      <c r="J27" s="127">
        <f t="shared" si="1"/>
        <v>32355.200000000001</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239.1</v>
      </c>
      <c r="D28" s="126">
        <f>SUM(D12:D27)</f>
        <v>286.24</v>
      </c>
      <c r="E28" s="964">
        <f>SUM(E12:E27)</f>
        <v>525.33999999999992</v>
      </c>
      <c r="F28" s="964"/>
      <c r="G28" s="959"/>
      <c r="H28" s="959"/>
      <c r="I28" s="23">
        <f>SUM(I12:I27)</f>
        <v>516.17900000000009</v>
      </c>
      <c r="J28" s="127">
        <f>SUM(J12:J27)</f>
        <v>2871672.72</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516.17900000000009</v>
      </c>
      <c r="H33" s="959" t="s">
        <v>45</v>
      </c>
      <c r="I33" s="959"/>
      <c r="J33" s="32">
        <f>SUM(J32,J28)</f>
        <v>2871672.72</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2604265.27</v>
      </c>
      <c r="H36" s="223" t="s">
        <v>49</v>
      </c>
      <c r="I36" s="38">
        <v>6.6699999999999995E-2</v>
      </c>
      <c r="J36" s="131">
        <f>ROUND(G36*I36,2)</f>
        <v>173704.49</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2604265.27</v>
      </c>
      <c r="H37" s="223" t="s">
        <v>49</v>
      </c>
      <c r="I37" s="38">
        <v>5.4000000000000003E-3</v>
      </c>
      <c r="J37" s="131">
        <f>ROUND(G37*I37,2)</f>
        <v>14063.03</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187767.52</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72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39.75</v>
      </c>
      <c r="D47" s="415">
        <v>44.65</v>
      </c>
      <c r="E47" s="952">
        <f t="shared" si="7"/>
        <v>84.4</v>
      </c>
      <c r="F47" s="952"/>
      <c r="G47" s="47" t="s">
        <v>61</v>
      </c>
      <c r="H47" s="223">
        <v>251</v>
      </c>
      <c r="I47" s="136">
        <f>INDEX('[1]111-112-113 ADDITIONAL FUND'!J$1:J$65536,MATCH($A$1,'[1]111-112-113 ADDITIONAL FUND'!A$1:A$65536))</f>
        <v>835</v>
      </c>
      <c r="J47" s="727">
        <f t="shared" si="8"/>
        <v>70474</v>
      </c>
      <c r="M47" s="2"/>
      <c r="R47" s="901"/>
      <c r="S47" s="901"/>
      <c r="T47" s="903"/>
      <c r="U47" s="903"/>
      <c r="V47" s="182" t="s">
        <v>61</v>
      </c>
      <c r="W47" s="239">
        <v>251</v>
      </c>
      <c r="X47" s="134">
        <f t="shared" si="9"/>
        <v>835</v>
      </c>
      <c r="Y47" s="269">
        <f t="shared" si="10"/>
        <v>0</v>
      </c>
    </row>
    <row r="48" spans="1:25" ht="15.75" customHeight="1" x14ac:dyDescent="0.25">
      <c r="A48" s="958"/>
      <c r="B48" s="958"/>
      <c r="C48" s="415">
        <v>4</v>
      </c>
      <c r="D48" s="415">
        <v>4.49</v>
      </c>
      <c r="E48" s="952">
        <f t="shared" si="7"/>
        <v>8.49</v>
      </c>
      <c r="F48" s="952"/>
      <c r="G48" s="47" t="s">
        <v>61</v>
      </c>
      <c r="H48" s="223">
        <v>252</v>
      </c>
      <c r="I48" s="136">
        <f>INDEX('[1]111-112-113 ADDITIONAL FUND'!K$1:K$65536,MATCH($A$1,'[1]111-112-113 ADDITIONAL FUND'!A$1:A$65536))</f>
        <v>3168</v>
      </c>
      <c r="J48" s="727">
        <f t="shared" si="8"/>
        <v>26896.32</v>
      </c>
      <c r="M48" s="2"/>
      <c r="R48" s="901"/>
      <c r="S48" s="901"/>
      <c r="T48" s="903"/>
      <c r="U48" s="903"/>
      <c r="V48" s="182" t="s">
        <v>61</v>
      </c>
      <c r="W48" s="239">
        <v>252</v>
      </c>
      <c r="X48" s="134">
        <f t="shared" si="9"/>
        <v>3168</v>
      </c>
      <c r="Y48" s="269">
        <f t="shared" si="10"/>
        <v>0</v>
      </c>
    </row>
    <row r="49" spans="1:25" ht="15.75" customHeight="1" thickBot="1" x14ac:dyDescent="0.3">
      <c r="A49" s="958"/>
      <c r="B49" s="958"/>
      <c r="C49" s="415">
        <v>0.5</v>
      </c>
      <c r="D49" s="415">
        <v>0.56000000000000005</v>
      </c>
      <c r="E49" s="953">
        <f t="shared" si="7"/>
        <v>1.06</v>
      </c>
      <c r="F49" s="953"/>
      <c r="G49" s="47" t="s">
        <v>61</v>
      </c>
      <c r="H49" s="223">
        <v>253</v>
      </c>
      <c r="I49" s="136">
        <f>INDEX('[1]111-112-113 ADDITIONAL FUND'!L$1:L$65536,MATCH($A$1,'[1]111-112-113 ADDITIONAL FUND'!A$1:A$65536))</f>
        <v>6685</v>
      </c>
      <c r="J49" s="727">
        <f t="shared" si="8"/>
        <v>7086.1</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44.25</v>
      </c>
      <c r="D50" s="585">
        <f>SUM(D41:D49)</f>
        <v>49.7</v>
      </c>
      <c r="E50" s="954">
        <f>SUM(E41:E49)</f>
        <v>93.95</v>
      </c>
      <c r="F50" s="954"/>
      <c r="G50" s="910" t="s">
        <v>63</v>
      </c>
      <c r="H50" s="910"/>
      <c r="I50" s="910"/>
      <c r="J50" s="276">
        <f>SUM(J41:J49)</f>
        <v>104456.42000000001</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525.33999999999992</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2.4399999999999999E-3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516.17900000000009</v>
      </c>
      <c r="U55" s="184" t="s">
        <v>66</v>
      </c>
      <c r="V55" s="185"/>
      <c r="W55" s="186" t="s">
        <v>71</v>
      </c>
      <c r="X55" s="917">
        <f>I56</f>
        <v>229051.25000000003</v>
      </c>
      <c r="Y55" s="917"/>
    </row>
    <row r="56" spans="1:25" ht="16.5" customHeight="1" x14ac:dyDescent="0.25">
      <c r="A56" s="897" t="s">
        <v>70</v>
      </c>
      <c r="B56" s="897"/>
      <c r="C56" s="237"/>
      <c r="D56" s="237"/>
      <c r="E56" s="48">
        <f>G33</f>
        <v>516.17900000000009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2.2539999999999999E-3</v>
      </c>
      <c r="Y56" s="918"/>
    </row>
    <row r="57" spans="1:25" ht="18.75" customHeight="1" x14ac:dyDescent="0.25">
      <c r="A57" s="237"/>
      <c r="H57" s="53" t="s">
        <v>68</v>
      </c>
      <c r="I57" s="943">
        <f>IFERROR(ROUND(E56/I56,6),0)</f>
        <v>2.2539999999999999E-3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525.33999999999992</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2.8219999999999999E-3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525.33999999999992</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2.4429999999999999E-3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525.33999999999992</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2.8270000000000001E-3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2.4429999999999999E-3</v>
      </c>
      <c r="J68" s="138">
        <f>ROUND(G68*I68,2)</f>
        <v>115531.29</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2.4399999999999999E-3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2.8270000000000001E-3</v>
      </c>
      <c r="J71" s="138">
        <f>ROUND(G71*I71,2)</f>
        <v>54187.6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2.8219999999999999E-3</v>
      </c>
      <c r="J72" s="138">
        <f>ROUND(G72*I72,2)</f>
        <v>32585.32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3.25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2.8400000000000002E-4</v>
      </c>
      <c r="J84" s="728">
        <f>ROUND(G84*I84,2)</f>
        <v>17968.599999999999</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2.2539999999999999E-3</v>
      </c>
      <c r="J85" s="728">
        <f>ROUND(G85*I85,2)</f>
        <v>605911.89</v>
      </c>
      <c r="K85" s="70"/>
      <c r="L85" s="70"/>
      <c r="M85" s="71"/>
      <c r="N85" s="70"/>
      <c r="O85" s="70"/>
      <c r="P85" s="70"/>
      <c r="Q85" s="70"/>
      <c r="R85" s="860" t="s">
        <v>172</v>
      </c>
      <c r="S85" s="860"/>
      <c r="T85" s="860"/>
      <c r="U85" s="253"/>
      <c r="V85" s="171">
        <f>G85</f>
        <v>268816278</v>
      </c>
      <c r="W85" s="239" t="s">
        <v>81</v>
      </c>
      <c r="X85" s="176">
        <f>X56</f>
        <v>2.2539999999999999E-3</v>
      </c>
      <c r="Y85" s="266">
        <f t="shared" ref="Y85:Y87" si="12">ROUND(V85*X85,2)</f>
        <v>605911.89</v>
      </c>
    </row>
    <row r="86" spans="1:26" ht="14.25" customHeight="1" x14ac:dyDescent="0.25">
      <c r="A86" s="896" t="s">
        <v>104</v>
      </c>
      <c r="B86" s="896"/>
      <c r="C86" s="896"/>
      <c r="D86" s="896"/>
      <c r="E86" s="896"/>
      <c r="F86" s="248" t="s">
        <v>103</v>
      </c>
      <c r="G86" s="139">
        <v>0</v>
      </c>
      <c r="H86" s="223" t="s">
        <v>81</v>
      </c>
      <c r="I86" s="41">
        <f>I57</f>
        <v>2.2539999999999999E-3</v>
      </c>
      <c r="J86" s="728">
        <f>ROUND(G86*I86,2)</f>
        <v>0</v>
      </c>
      <c r="K86" s="70"/>
      <c r="L86" s="71"/>
      <c r="M86" s="76"/>
      <c r="N86" s="76"/>
      <c r="O86" s="76"/>
      <c r="P86" s="76"/>
      <c r="Q86" s="70"/>
      <c r="R86" s="860" t="s">
        <v>173</v>
      </c>
      <c r="S86" s="860"/>
      <c r="T86" s="860"/>
      <c r="U86" s="253"/>
      <c r="V86" s="203">
        <f>G86</f>
        <v>0</v>
      </c>
      <c r="W86" s="239" t="s">
        <v>81</v>
      </c>
      <c r="X86" s="176">
        <f>X56</f>
        <v>2.2539999999999999E-3</v>
      </c>
      <c r="Y86" s="266">
        <f t="shared" si="12"/>
        <v>0</v>
      </c>
    </row>
    <row r="87" spans="1:26" ht="18" customHeight="1" x14ac:dyDescent="0.25">
      <c r="A87" s="896" t="s">
        <v>105</v>
      </c>
      <c r="B87" s="896"/>
      <c r="C87" s="896"/>
      <c r="D87" s="896"/>
      <c r="E87" s="896"/>
      <c r="F87" s="248" t="s">
        <v>84</v>
      </c>
      <c r="G87" s="139">
        <v>0</v>
      </c>
      <c r="H87" s="223" t="s">
        <v>81</v>
      </c>
      <c r="I87" s="41">
        <f>I54</f>
        <v>2.4399999999999999E-3</v>
      </c>
      <c r="J87" s="72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727">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516.17900000000009</v>
      </c>
      <c r="C92" s="109"/>
      <c r="D92" s="867">
        <f>I6</f>
        <v>1.0355000000000001</v>
      </c>
      <c r="E92" s="867"/>
      <c r="F92" s="867"/>
      <c r="G92" s="122">
        <f>'[1]Detail 2025-26 FEFP Second'!AD3</f>
        <v>917.3</v>
      </c>
      <c r="H92" s="47" t="s">
        <v>68</v>
      </c>
      <c r="I92" s="727">
        <f>ROUND(B92*D92*G92,2)</f>
        <v>490299.93</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516.17900000000009</v>
      </c>
      <c r="C93" s="109"/>
      <c r="D93" s="109"/>
      <c r="E93" s="937" t="s">
        <v>112</v>
      </c>
      <c r="F93" s="937"/>
      <c r="G93" s="937"/>
      <c r="H93" s="937"/>
      <c r="I93" s="937"/>
      <c r="J93" s="127">
        <f>IF(A1=75,0,I92+I91+I90)</f>
        <v>490299.93</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149</v>
      </c>
      <c r="D97" s="279">
        <v>39</v>
      </c>
      <c r="E97" s="989">
        <f>(C97+D97)/2</f>
        <v>94</v>
      </c>
      <c r="F97" s="940"/>
      <c r="G97" s="940"/>
      <c r="H97" s="224" t="s">
        <v>117</v>
      </c>
      <c r="I97" s="130">
        <f>IF(A1&gt;67,0,INDEX('[1]Transportation Per Student'!F$1:F$65536,MATCH(A1,'[1]Transportation Per Student'!B$1:B$65536)))</f>
        <v>617</v>
      </c>
      <c r="J97" s="138">
        <f>ROUND(I97*E97,2)</f>
        <v>57998</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4350611.7699999996</v>
      </c>
      <c r="L107" s="576"/>
      <c r="R107" s="860" t="s">
        <v>125</v>
      </c>
      <c r="S107" s="860"/>
      <c r="T107" s="860"/>
      <c r="U107" s="860"/>
      <c r="V107" s="860"/>
      <c r="W107" s="860"/>
      <c r="X107" s="860"/>
      <c r="Y107" s="219">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4162844.2499999995</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4162844.2499999995</v>
      </c>
      <c r="J114" s="296">
        <f>ROUND(IF(E28=0,0,IF(E28&gt;250,-(((250/E28)*I114)*IF(H114="H",0.02,0.05)),IF(H114="H",-0.02*I114,-0.05*I114))),2)</f>
        <v>-99051.19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4251560.5799999991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Payments'!R96</f>
        <v>-2057837.67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2193722.9099999992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365620.49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109091.02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458</v>
      </c>
      <c r="B2" s="102"/>
      <c r="C2" s="102"/>
      <c r="D2" s="102"/>
      <c r="E2" s="100"/>
      <c r="F2" s="100"/>
      <c r="G2" s="100"/>
      <c r="H2" s="100"/>
      <c r="I2" s="100"/>
      <c r="J2" s="100"/>
      <c r="K2" s="6"/>
      <c r="L2" s="6"/>
      <c r="M2" s="6"/>
      <c r="N2" s="6"/>
      <c r="O2" s="6"/>
      <c r="P2" s="6"/>
      <c r="Q2" s="6"/>
      <c r="R2" s="873" t="str">
        <f>Revenue_Estimate_Worksheet_for___________Charter_School</f>
        <v>Revenue Estimate Worksheet: Renaissance Charter School at West Palm Beach - 3431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Second'!$C$1:$C$65536,MATCH('3431'!$A$1,'[1]Detail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182.54</v>
      </c>
      <c r="D12" s="411">
        <v>175.93</v>
      </c>
      <c r="E12" s="979">
        <f t="shared" ref="E12:E27" si="0">IF($D$28=0,C12*2,C12+D12)</f>
        <v>358.47</v>
      </c>
      <c r="F12" s="979"/>
      <c r="G12" s="980">
        <v>1.1080000000000001</v>
      </c>
      <c r="H12" s="980"/>
      <c r="I12" s="578">
        <f>ROUND(E12*G12,4)</f>
        <v>397.1848</v>
      </c>
      <c r="J12" s="579">
        <f t="shared" ref="J12:J27" si="1">ROUND(ROUND(ROUND(I12*$E$6,4)*($I$6),2)*(MAX($I$7,1)),2)</f>
        <v>2209669.04</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28.46</v>
      </c>
      <c r="D13" s="415">
        <v>29</v>
      </c>
      <c r="E13" s="965">
        <f t="shared" si="0"/>
        <v>57.46</v>
      </c>
      <c r="F13" s="965"/>
      <c r="G13" s="966">
        <v>1.1080000000000001</v>
      </c>
      <c r="H13" s="966"/>
      <c r="I13" s="578">
        <f t="shared" ref="I13:I27" si="2">ROUND(E13*G13,4)</f>
        <v>63.665700000000001</v>
      </c>
      <c r="J13" s="579">
        <f t="shared" si="1"/>
        <v>354193.13</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218.17</v>
      </c>
      <c r="D14" s="415">
        <v>213.57</v>
      </c>
      <c r="E14" s="965">
        <f t="shared" si="0"/>
        <v>431.74</v>
      </c>
      <c r="F14" s="965"/>
      <c r="G14" s="966">
        <v>1</v>
      </c>
      <c r="H14" s="966"/>
      <c r="I14" s="578">
        <f t="shared" si="2"/>
        <v>431.74</v>
      </c>
      <c r="J14" s="579">
        <f>ROUND(ROUND(ROUND(I14*$E$6,4)*($I$6),2)*(MAX($I$7,1)),2)</f>
        <v>2401910.9300000002</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33.5</v>
      </c>
      <c r="D15" s="415">
        <v>33.049999999999997</v>
      </c>
      <c r="E15" s="965">
        <f t="shared" si="0"/>
        <v>66.55</v>
      </c>
      <c r="F15" s="965"/>
      <c r="G15" s="966">
        <v>1</v>
      </c>
      <c r="H15" s="966"/>
      <c r="I15" s="578">
        <f t="shared" si="2"/>
        <v>66.55</v>
      </c>
      <c r="J15" s="579">
        <f t="shared" si="1"/>
        <v>370239.43</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34.380000000000003</v>
      </c>
      <c r="D24" s="415">
        <v>33.700000000000003</v>
      </c>
      <c r="E24" s="965">
        <f t="shared" si="0"/>
        <v>68.080000000000013</v>
      </c>
      <c r="F24" s="965"/>
      <c r="G24" s="966">
        <v>1.165</v>
      </c>
      <c r="H24" s="966"/>
      <c r="I24" s="578">
        <f t="shared" si="2"/>
        <v>79.313199999999995</v>
      </c>
      <c r="J24" s="579">
        <f t="shared" si="1"/>
        <v>441245.29</v>
      </c>
      <c r="M24" s="2"/>
      <c r="R24" s="858" t="s">
        <v>32</v>
      </c>
      <c r="S24" s="858"/>
      <c r="T24" s="889">
        <f t="shared" si="3"/>
        <v>0</v>
      </c>
      <c r="U24" s="889"/>
      <c r="V24" s="894">
        <v>1</v>
      </c>
      <c r="W24" s="894"/>
      <c r="X24" s="156">
        <f t="shared" si="4"/>
        <v>0</v>
      </c>
      <c r="Y24" s="266">
        <f t="shared" si="6"/>
        <v>0</v>
      </c>
    </row>
    <row r="25" spans="1:25" x14ac:dyDescent="0.25">
      <c r="A25" s="859" t="s">
        <v>33</v>
      </c>
      <c r="B25" s="859"/>
      <c r="C25" s="415">
        <v>9.5399999999999991</v>
      </c>
      <c r="D25" s="415">
        <v>9.34</v>
      </c>
      <c r="E25" s="965">
        <f t="shared" si="0"/>
        <v>18.88</v>
      </c>
      <c r="F25" s="965"/>
      <c r="G25" s="966">
        <v>1.165</v>
      </c>
      <c r="H25" s="966"/>
      <c r="I25" s="578">
        <f t="shared" si="2"/>
        <v>21.995200000000001</v>
      </c>
      <c r="J25" s="579">
        <f t="shared" si="1"/>
        <v>122366.5</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506.59</v>
      </c>
      <c r="D28" s="126">
        <f>SUM(D12:D27)</f>
        <v>494.59</v>
      </c>
      <c r="E28" s="964">
        <f>SUM(E12:E27)</f>
        <v>1001.1800000000001</v>
      </c>
      <c r="F28" s="964"/>
      <c r="G28" s="959"/>
      <c r="H28" s="959"/>
      <c r="I28" s="23">
        <f>SUM(I12:I27)</f>
        <v>1060.4489000000001</v>
      </c>
      <c r="J28" s="127">
        <f>SUM(J12:J27)</f>
        <v>5899624.3199999994</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1060.4489000000001</v>
      </c>
      <c r="H33" s="959" t="s">
        <v>45</v>
      </c>
      <c r="I33" s="959"/>
      <c r="J33" s="32">
        <f>SUM(J32,J28)</f>
        <v>5899624.3199999994</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5974890.0099999998</v>
      </c>
      <c r="H36" s="223" t="s">
        <v>49</v>
      </c>
      <c r="I36" s="38">
        <v>6.6699999999999995E-2</v>
      </c>
      <c r="J36" s="131">
        <f>ROUND(G36*I36,2)</f>
        <v>398525.16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5974890.0099999998</v>
      </c>
      <c r="H37" s="223" t="s">
        <v>49</v>
      </c>
      <c r="I37" s="38">
        <v>5.4000000000000003E-3</v>
      </c>
      <c r="J37" s="131">
        <f>ROUND(G37*I37,2)</f>
        <v>32264.41</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430789.56999999995</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24.459999999999997</v>
      </c>
      <c r="D41" s="415">
        <v>24.93</v>
      </c>
      <c r="E41" s="952">
        <f t="shared" ref="E41:E49" si="7">IF($D$50=0,C41*2,C41+D41)</f>
        <v>49.39</v>
      </c>
      <c r="F41" s="952"/>
      <c r="G41" s="223" t="s">
        <v>59</v>
      </c>
      <c r="H41" s="223">
        <v>251</v>
      </c>
      <c r="I41" s="136">
        <f>INDEX('[1]111-112-113 ADDITIONAL FUND'!D$1:D$65536,MATCH($A$1,'[1]111-112-113 ADDITIONAL FUND'!A$1:A$65536))</f>
        <v>1047</v>
      </c>
      <c r="J41" s="727">
        <f t="shared" ref="J41:J49" si="8">ROUND(E41*I41,2)</f>
        <v>51711.33</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3.5</v>
      </c>
      <c r="D42" s="415">
        <v>3.56</v>
      </c>
      <c r="E42" s="952">
        <f t="shared" si="7"/>
        <v>7.0600000000000005</v>
      </c>
      <c r="F42" s="952"/>
      <c r="G42" s="223" t="s">
        <v>59</v>
      </c>
      <c r="H42" s="223">
        <v>252</v>
      </c>
      <c r="I42" s="136">
        <f>INDEX('[1]111-112-113 ADDITIONAL FUND'!E$1:E$65536,MATCH($A$1,'[1]111-112-113 ADDITIONAL FUND'!A$1:A$65536))</f>
        <v>3380</v>
      </c>
      <c r="J42" s="727">
        <f t="shared" si="8"/>
        <v>23862.799999999999</v>
      </c>
      <c r="M42" s="2"/>
      <c r="R42" s="901"/>
      <c r="S42" s="901"/>
      <c r="T42" s="902"/>
      <c r="U42" s="902"/>
      <c r="V42" s="239" t="s">
        <v>59</v>
      </c>
      <c r="W42" s="239">
        <v>252</v>
      </c>
      <c r="X42" s="134">
        <f t="shared" si="9"/>
        <v>3380</v>
      </c>
      <c r="Y42" s="269">
        <f t="shared" ref="Y42:Y49" si="10">ROUND(T42*X42,2)</f>
        <v>0</v>
      </c>
    </row>
    <row r="43" spans="1:25" x14ac:dyDescent="0.25">
      <c r="A43" s="958"/>
      <c r="B43" s="958"/>
      <c r="C43" s="415">
        <v>0.5</v>
      </c>
      <c r="D43" s="415">
        <v>0.51</v>
      </c>
      <c r="E43" s="952">
        <f t="shared" si="7"/>
        <v>1.01</v>
      </c>
      <c r="F43" s="952"/>
      <c r="G43" s="223" t="s">
        <v>59</v>
      </c>
      <c r="H43" s="223">
        <v>253</v>
      </c>
      <c r="I43" s="136">
        <f>INDEX('[1]111-112-113 ADDITIONAL FUND'!F$1:F$65536,MATCH($A$1,'[1]111-112-113 ADDITIONAL FUND'!A$1:A$65536))</f>
        <v>6896</v>
      </c>
      <c r="J43" s="727">
        <f t="shared" si="8"/>
        <v>6964.96</v>
      </c>
      <c r="M43" s="2"/>
      <c r="R43" s="901"/>
      <c r="S43" s="901"/>
      <c r="T43" s="903"/>
      <c r="U43" s="903"/>
      <c r="V43" s="239" t="s">
        <v>59</v>
      </c>
      <c r="W43" s="239">
        <v>253</v>
      </c>
      <c r="X43" s="134">
        <f t="shared" si="9"/>
        <v>6896</v>
      </c>
      <c r="Y43" s="269">
        <f t="shared" si="10"/>
        <v>0</v>
      </c>
    </row>
    <row r="44" spans="1:25" ht="20.25" customHeight="1" x14ac:dyDescent="0.25">
      <c r="A44" s="958"/>
      <c r="B44" s="958"/>
      <c r="C44" s="415">
        <v>27</v>
      </c>
      <c r="D44" s="415">
        <v>26.64</v>
      </c>
      <c r="E44" s="952">
        <f t="shared" si="7"/>
        <v>53.64</v>
      </c>
      <c r="F44" s="952"/>
      <c r="G44" s="47" t="s">
        <v>60</v>
      </c>
      <c r="H44" s="223">
        <v>251</v>
      </c>
      <c r="I44" s="136">
        <f>INDEX('[1]111-112-113 ADDITIONAL FUND'!G$1:G$65536,MATCH($A$1,'[1]111-112-113 ADDITIONAL FUND'!A$1:A$65536))</f>
        <v>1173</v>
      </c>
      <c r="J44" s="727">
        <f t="shared" si="8"/>
        <v>62919.72</v>
      </c>
      <c r="L44" s="3"/>
      <c r="M44" s="2"/>
      <c r="Q44" s="4"/>
      <c r="R44" s="901"/>
      <c r="S44" s="901"/>
      <c r="T44" s="903"/>
      <c r="U44" s="903"/>
      <c r="V44" s="182" t="s">
        <v>60</v>
      </c>
      <c r="W44" s="239">
        <v>251</v>
      </c>
      <c r="X44" s="134">
        <f t="shared" si="9"/>
        <v>1173</v>
      </c>
      <c r="Y44" s="269">
        <f t="shared" si="10"/>
        <v>0</v>
      </c>
    </row>
    <row r="45" spans="1:25" x14ac:dyDescent="0.25">
      <c r="A45" s="958"/>
      <c r="B45" s="958"/>
      <c r="C45" s="415">
        <v>6.5</v>
      </c>
      <c r="D45" s="415">
        <v>6.41</v>
      </c>
      <c r="E45" s="952">
        <f t="shared" si="7"/>
        <v>12.91</v>
      </c>
      <c r="F45" s="952"/>
      <c r="G45" s="47" t="s">
        <v>60</v>
      </c>
      <c r="H45" s="223">
        <v>252</v>
      </c>
      <c r="I45" s="136">
        <f>INDEX('[1]111-112-113 ADDITIONAL FUND'!H$1:H$65536,MATCH($A$1,'[1]111-112-113 ADDITIONAL FUND'!A$1:A$65536))</f>
        <v>3506</v>
      </c>
      <c r="J45" s="727">
        <f t="shared" si="8"/>
        <v>45262.46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61.959999999999994</v>
      </c>
      <c r="D50" s="585">
        <f>SUM(D41:D49)</f>
        <v>62.05</v>
      </c>
      <c r="E50" s="954">
        <f>SUM(E41:E49)</f>
        <v>124.00999999999999</v>
      </c>
      <c r="F50" s="954"/>
      <c r="G50" s="910" t="s">
        <v>63</v>
      </c>
      <c r="H50" s="910"/>
      <c r="I50" s="910"/>
      <c r="J50" s="276">
        <f>SUM(J41:J49)</f>
        <v>190721.27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1001.1800000000001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4.6499999999999996E-3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1060.4489000000001</v>
      </c>
      <c r="U55" s="184" t="s">
        <v>66</v>
      </c>
      <c r="V55" s="185"/>
      <c r="W55" s="186" t="s">
        <v>71</v>
      </c>
      <c r="X55" s="917">
        <f>I56</f>
        <v>229051.25000000003</v>
      </c>
      <c r="Y55" s="917"/>
    </row>
    <row r="56" spans="1:25" ht="16.5" customHeight="1" x14ac:dyDescent="0.25">
      <c r="A56" s="897" t="s">
        <v>70</v>
      </c>
      <c r="B56" s="897"/>
      <c r="C56" s="237"/>
      <c r="D56" s="237"/>
      <c r="E56" s="48">
        <f>G33</f>
        <v>1060.4489000000001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4.6299999999999996E-3</v>
      </c>
      <c r="Y56" s="918"/>
    </row>
    <row r="57" spans="1:25" ht="18.75" customHeight="1" x14ac:dyDescent="0.25">
      <c r="A57" s="237"/>
      <c r="H57" s="53" t="s">
        <v>68</v>
      </c>
      <c r="I57" s="943">
        <f>IFERROR(ROUND(E56/I56,6),0)</f>
        <v>4.6299999999999996E-3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1001.1800000000001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5.378E-3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1001.1800000000001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4.6560000000000004E-3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1001.1800000000001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5.3870000000000003E-3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4.6560000000000004E-3</v>
      </c>
      <c r="J68" s="138">
        <f>ROUND(G68*I68,2)</f>
        <v>220185.72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4.6499999999999996E-3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5.3870000000000003E-3</v>
      </c>
      <c r="J71" s="138">
        <f>ROUND(G71*I71,2)</f>
        <v>103257.37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5.378E-3</v>
      </c>
      <c r="J72" s="138">
        <f>ROUND(G72*I72,2)</f>
        <v>62099.17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4.6299999999999996E-3</v>
      </c>
      <c r="J85" s="138">
        <f>ROUND(G85*I85,2)</f>
        <v>1244619.3700000001</v>
      </c>
      <c r="K85" s="70"/>
      <c r="L85" s="70"/>
      <c r="M85" s="71"/>
      <c r="N85" s="70"/>
      <c r="O85" s="70"/>
      <c r="P85" s="70"/>
      <c r="Q85" s="70"/>
      <c r="R85" s="860" t="s">
        <v>172</v>
      </c>
      <c r="S85" s="860"/>
      <c r="T85" s="860"/>
      <c r="U85" s="253"/>
      <c r="V85" s="171">
        <f>G85</f>
        <v>268816278</v>
      </c>
      <c r="W85" s="239" t="s">
        <v>81</v>
      </c>
      <c r="X85" s="176">
        <f>X56</f>
        <v>4.6299999999999996E-3</v>
      </c>
      <c r="Y85" s="266">
        <f t="shared" ref="Y85:Y87" si="12">ROUND(V85*X85,2)</f>
        <v>1244619.3700000001</v>
      </c>
    </row>
    <row r="86" spans="1:26" ht="14.25" customHeight="1" x14ac:dyDescent="0.25">
      <c r="A86" s="896" t="s">
        <v>104</v>
      </c>
      <c r="B86" s="896"/>
      <c r="C86" s="896"/>
      <c r="D86" s="896"/>
      <c r="E86" s="896"/>
      <c r="F86" s="248" t="s">
        <v>103</v>
      </c>
      <c r="G86" s="139">
        <v>0</v>
      </c>
      <c r="H86" s="223" t="s">
        <v>81</v>
      </c>
      <c r="I86" s="41">
        <f>I57</f>
        <v>4.6299999999999996E-3</v>
      </c>
      <c r="J86" s="138">
        <f>ROUND(G86*I86,2)</f>
        <v>0</v>
      </c>
      <c r="K86" s="70"/>
      <c r="L86" s="71"/>
      <c r="M86" s="76"/>
      <c r="N86" s="76"/>
      <c r="O86" s="76"/>
      <c r="P86" s="76"/>
      <c r="Q86" s="70"/>
      <c r="R86" s="860" t="s">
        <v>173</v>
      </c>
      <c r="S86" s="860"/>
      <c r="T86" s="860"/>
      <c r="U86" s="253"/>
      <c r="V86" s="203">
        <f>G86</f>
        <v>0</v>
      </c>
      <c r="W86" s="239" t="s">
        <v>81</v>
      </c>
      <c r="X86" s="176">
        <f>X56</f>
        <v>4.6299999999999996E-3</v>
      </c>
      <c r="Y86" s="266">
        <f t="shared" si="12"/>
        <v>0</v>
      </c>
    </row>
    <row r="87" spans="1:26" ht="18" customHeight="1" x14ac:dyDescent="0.25">
      <c r="A87" s="896" t="s">
        <v>105</v>
      </c>
      <c r="B87" s="896"/>
      <c r="C87" s="896"/>
      <c r="D87" s="896"/>
      <c r="E87" s="896"/>
      <c r="F87" s="248" t="s">
        <v>84</v>
      </c>
      <c r="G87" s="139">
        <v>0</v>
      </c>
      <c r="H87" s="223" t="s">
        <v>81</v>
      </c>
      <c r="I87" s="41">
        <f>I54</f>
        <v>4.6499999999999996E-3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540.16370000000006</v>
      </c>
      <c r="C90" s="245"/>
      <c r="D90" s="867">
        <f>I6</f>
        <v>1.0355000000000001</v>
      </c>
      <c r="E90" s="867"/>
      <c r="F90" s="867"/>
      <c r="G90" s="122">
        <f>'[1]Detail 2025-26 FEFP Second'!AB3</f>
        <v>958.42</v>
      </c>
      <c r="H90" s="47" t="s">
        <v>68</v>
      </c>
      <c r="I90" s="727">
        <f>ROUND(B90*D90*G90,2)</f>
        <v>536082.17000000004</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520.28520000000003</v>
      </c>
      <c r="C91" s="245"/>
      <c r="D91" s="867">
        <f>I6</f>
        <v>1.0355000000000001</v>
      </c>
      <c r="E91" s="867"/>
      <c r="F91" s="867"/>
      <c r="G91" s="122">
        <f>'[1]Detail 2025-26 FEFP Second'!AC3</f>
        <v>915.09</v>
      </c>
      <c r="H91" s="47" t="s">
        <v>68</v>
      </c>
      <c r="I91" s="727">
        <f>ROUND(B91*D91*G91,2)</f>
        <v>493009.61</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1060.4489000000001</v>
      </c>
      <c r="C93" s="109"/>
      <c r="D93" s="109"/>
      <c r="E93" s="937" t="s">
        <v>112</v>
      </c>
      <c r="F93" s="937"/>
      <c r="G93" s="937"/>
      <c r="H93" s="937"/>
      <c r="I93" s="937"/>
      <c r="J93" s="127">
        <f>IF(A1=75,0,I92+I91+I90)</f>
        <v>1029091.78</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45</v>
      </c>
      <c r="D97" s="279">
        <v>35</v>
      </c>
      <c r="E97" s="989">
        <f>(C97+D97)/2</f>
        <v>40</v>
      </c>
      <c r="F97" s="940"/>
      <c r="G97" s="940"/>
      <c r="H97" s="224" t="s">
        <v>117</v>
      </c>
      <c r="I97" s="130">
        <f>IF(A1&gt;67,0,INDEX('[1]Transportation Per Student'!F$1:F$65536,MATCH(A1,'[1]Transportation Per Student'!B$1:B$65536)))</f>
        <v>617</v>
      </c>
      <c r="J97" s="138">
        <f>ROUND(I97*E97,2)</f>
        <v>24680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8774279</v>
      </c>
      <c r="L107" s="576"/>
      <c r="R107" s="860" t="s">
        <v>125</v>
      </c>
      <c r="S107" s="860"/>
      <c r="T107" s="860"/>
      <c r="U107" s="860"/>
      <c r="V107" s="860"/>
      <c r="W107" s="860"/>
      <c r="X107" s="860"/>
      <c r="Y107" s="219">
        <f>SUM(Y106,Y105,Y97,Y96,Y93,Y86,Y85,Y84,Y70,Y69,Y67,Y33,Y71,Y50,Y87,Y83)</f>
        <v>1244619.3700000001</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8343489.4299999997</v>
      </c>
      <c r="R109" s="170" t="s">
        <v>180</v>
      </c>
      <c r="S109" s="170"/>
      <c r="T109" s="170"/>
      <c r="U109" s="170"/>
      <c r="V109" s="170"/>
      <c r="W109" s="170"/>
      <c r="X109" s="170"/>
      <c r="Y109" s="220">
        <f>Y107-Y38</f>
        <v>1244619.3700000001</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1244619.3700000001</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t="s">
        <v>436</v>
      </c>
      <c r="I114" s="710">
        <f>IF(I111=1,J111,J109)</f>
        <v>8343489.4299999997</v>
      </c>
      <c r="J114" s="711">
        <f>ROUND(IF(E28=0,0,IF(E28&gt;250,-(((250/E28)*I114)*IF(H114="H",0.02,0.05)),IF(H114="H",-0.02*I114,-0.05*I114))),2)</f>
        <v>-41668.28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8732610.7200000007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Payments'!R97</f>
        <v>-4379310.8999999994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4353299.8200000012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725549.97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125201.51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7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87" t="s">
        <v>459</v>
      </c>
      <c r="B2" s="102"/>
      <c r="C2" s="102"/>
      <c r="D2" s="102"/>
      <c r="E2" s="100"/>
      <c r="F2" s="100"/>
      <c r="G2" s="100"/>
      <c r="H2" s="100"/>
      <c r="I2" s="100"/>
      <c r="J2" s="100"/>
      <c r="K2" s="6"/>
      <c r="L2" s="6"/>
      <c r="M2" s="6"/>
      <c r="N2" s="6"/>
      <c r="O2" s="6"/>
      <c r="P2" s="6"/>
      <c r="Q2" s="6"/>
      <c r="R2" s="873" t="str">
        <f>Revenue_Estimate_Worksheet_for___________Charter_School</f>
        <v>Revenue Estimate Worksheet: SouthTech Preparatory Academy - 3441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Second'!$C$1:$C$65536,MATCH('3441'!$A$1,'[1]Detail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226.63</v>
      </c>
      <c r="D14" s="415">
        <v>224.3</v>
      </c>
      <c r="E14" s="965">
        <f t="shared" si="0"/>
        <v>450.93</v>
      </c>
      <c r="F14" s="965"/>
      <c r="G14" s="966">
        <v>1</v>
      </c>
      <c r="H14" s="966"/>
      <c r="I14" s="578">
        <f t="shared" si="2"/>
        <v>450.93</v>
      </c>
      <c r="J14" s="579">
        <f>ROUND(ROUND(ROUND(I14*$E$6,4)*($I$6),2)*(MAX($I$7,1)),2)</f>
        <v>2508671.1800000002</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29</v>
      </c>
      <c r="D15" s="415">
        <v>30</v>
      </c>
      <c r="E15" s="965">
        <f t="shared" si="0"/>
        <v>59</v>
      </c>
      <c r="F15" s="965"/>
      <c r="G15" s="966">
        <v>1</v>
      </c>
      <c r="H15" s="966"/>
      <c r="I15" s="578">
        <f t="shared" si="2"/>
        <v>59</v>
      </c>
      <c r="J15" s="579">
        <f t="shared" si="1"/>
        <v>328236.31</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8.1999999999999993</v>
      </c>
      <c r="D25" s="415">
        <v>9.0299999999999994</v>
      </c>
      <c r="E25" s="965">
        <f t="shared" si="0"/>
        <v>17.229999999999997</v>
      </c>
      <c r="F25" s="965"/>
      <c r="G25" s="966">
        <v>1.165</v>
      </c>
      <c r="H25" s="966"/>
      <c r="I25" s="578">
        <f t="shared" si="2"/>
        <v>20.073</v>
      </c>
      <c r="J25" s="579">
        <f t="shared" si="1"/>
        <v>111672.67</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263.83</v>
      </c>
      <c r="D28" s="126">
        <f>SUM(D12:D27)</f>
        <v>263.33</v>
      </c>
      <c r="E28" s="964">
        <f>SUM(E12:E27)</f>
        <v>527.16</v>
      </c>
      <c r="F28" s="964"/>
      <c r="G28" s="959"/>
      <c r="H28" s="959"/>
      <c r="I28" s="23">
        <f>SUM(I12:I27)</f>
        <v>530.00300000000004</v>
      </c>
      <c r="J28" s="127">
        <f>SUM(J12:J27)</f>
        <v>2948580.16</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530.00300000000004</v>
      </c>
      <c r="H33" s="959" t="s">
        <v>45</v>
      </c>
      <c r="I33" s="959"/>
      <c r="J33" s="32">
        <f>SUM(J32,J28)</f>
        <v>2948580.16</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2950265.84</v>
      </c>
      <c r="H36" s="223" t="s">
        <v>49</v>
      </c>
      <c r="I36" s="38">
        <v>6.6699999999999995E-2</v>
      </c>
      <c r="J36" s="131">
        <f>ROUND(G36*I36,2)</f>
        <v>196782.73</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2950265.84</v>
      </c>
      <c r="H37" s="223" t="s">
        <v>49</v>
      </c>
      <c r="I37" s="38">
        <v>5.4000000000000003E-3</v>
      </c>
      <c r="J37" s="131">
        <f>ROUND(G37*I37,2)</f>
        <v>15931.44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212714.17</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29</v>
      </c>
      <c r="D44" s="415">
        <v>30</v>
      </c>
      <c r="E44" s="952">
        <f t="shared" si="7"/>
        <v>59</v>
      </c>
      <c r="F44" s="952"/>
      <c r="G44" s="47" t="s">
        <v>60</v>
      </c>
      <c r="H44" s="223">
        <v>251</v>
      </c>
      <c r="I44" s="136">
        <f>INDEX('[1]111-112-113 ADDITIONAL FUND'!G$1:G$65536,MATCH($A$1,'[1]111-112-113 ADDITIONAL FUND'!A$1:A$65536))</f>
        <v>1173</v>
      </c>
      <c r="J44" s="727">
        <f t="shared" si="8"/>
        <v>69207</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29</v>
      </c>
      <c r="D50" s="585">
        <f>SUM(D41:D49)</f>
        <v>30</v>
      </c>
      <c r="E50" s="954">
        <f>SUM(E41:E49)</f>
        <v>59</v>
      </c>
      <c r="F50" s="954"/>
      <c r="G50" s="910" t="s">
        <v>63</v>
      </c>
      <c r="H50" s="910"/>
      <c r="I50" s="910"/>
      <c r="J50" s="276">
        <f>SUM(J41:J49)</f>
        <v>69207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527.16</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2.4480000000000001E-3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v>0</v>
      </c>
      <c r="U55" s="184" t="s">
        <v>66</v>
      </c>
      <c r="V55" s="185"/>
      <c r="W55" s="186" t="s">
        <v>71</v>
      </c>
      <c r="X55" s="917">
        <f>I56</f>
        <v>229051.25000000003</v>
      </c>
      <c r="Y55" s="917"/>
    </row>
    <row r="56" spans="1:25" ht="16.5" customHeight="1" x14ac:dyDescent="0.25">
      <c r="A56" s="897" t="s">
        <v>70</v>
      </c>
      <c r="B56" s="897"/>
      <c r="C56" s="237"/>
      <c r="D56" s="237"/>
      <c r="E56" s="48">
        <f>G33</f>
        <v>530.00300000000004</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0</v>
      </c>
      <c r="Y56" s="918"/>
    </row>
    <row r="57" spans="1:25" ht="18.75" customHeight="1" x14ac:dyDescent="0.25">
      <c r="A57" s="237"/>
      <c r="H57" s="53" t="s">
        <v>68</v>
      </c>
      <c r="I57" s="943">
        <f>IFERROR(ROUND(E56/I56,6),0)</f>
        <v>2.3140000000000001E-3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527.16</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2.8319999999999999E-3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527.16</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2.4520000000000002E-3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527.16</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2.836E-3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2.4520000000000002E-3</v>
      </c>
      <c r="J68" s="138">
        <f>ROUND(G68*I68,2)</f>
        <v>115956.91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2.4480000000000001E-3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2.836E-3</v>
      </c>
      <c r="J71" s="138">
        <f>ROUND(G71*I71,2)</f>
        <v>54360.11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2.8319999999999999E-3</v>
      </c>
      <c r="J72" s="138">
        <f>ROUND(G72*I72,2)</f>
        <v>32700.79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1.431E-3</v>
      </c>
      <c r="J84" s="62">
        <f>ROUND(G84*I84,2)</f>
        <v>90538.98</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2.3140000000000001E-3</v>
      </c>
      <c r="J85" s="138">
        <f>ROUND(G85*I85,2)</f>
        <v>622040.87</v>
      </c>
      <c r="K85" s="70"/>
      <c r="L85" s="70"/>
      <c r="M85" s="71"/>
      <c r="N85" s="70"/>
      <c r="O85" s="70"/>
      <c r="P85" s="70"/>
      <c r="Q85" s="70"/>
      <c r="R85" s="860" t="s">
        <v>172</v>
      </c>
      <c r="S85" s="860"/>
      <c r="T85" s="860"/>
      <c r="U85" s="253"/>
      <c r="V85" s="171">
        <f>G85</f>
        <v>268816278</v>
      </c>
      <c r="W85" s="239" t="s">
        <v>81</v>
      </c>
      <c r="X85" s="176">
        <f>X56</f>
        <v>0</v>
      </c>
      <c r="Y85" s="266">
        <f>ROUND(V85*X85,2)</f>
        <v>0</v>
      </c>
    </row>
    <row r="86" spans="1:26" ht="14.25" customHeight="1" x14ac:dyDescent="0.25">
      <c r="A86" s="896" t="s">
        <v>104</v>
      </c>
      <c r="B86" s="896"/>
      <c r="C86" s="896"/>
      <c r="D86" s="896"/>
      <c r="E86" s="896"/>
      <c r="F86" s="248" t="s">
        <v>103</v>
      </c>
      <c r="G86" s="139">
        <v>0</v>
      </c>
      <c r="H86" s="223" t="s">
        <v>81</v>
      </c>
      <c r="I86" s="41">
        <f>I57</f>
        <v>2.3140000000000001E-3</v>
      </c>
      <c r="J86" s="138">
        <f>ROUND(G86*I86,2)</f>
        <v>0</v>
      </c>
      <c r="K86" s="70"/>
      <c r="L86" s="71"/>
      <c r="M86" s="76"/>
      <c r="N86" s="76"/>
      <c r="O86" s="76"/>
      <c r="P86" s="76"/>
      <c r="Q86" s="70"/>
      <c r="R86" s="860" t="s">
        <v>173</v>
      </c>
      <c r="S86" s="860"/>
      <c r="T86" s="860"/>
      <c r="U86" s="253"/>
      <c r="V86" s="203">
        <f>G86</f>
        <v>0</v>
      </c>
      <c r="W86" s="239" t="s">
        <v>81</v>
      </c>
      <c r="X86" s="176">
        <f>X56</f>
        <v>0</v>
      </c>
      <c r="Y86" s="266">
        <f t="shared" ref="Y86:Y87" si="12">ROUND(V86*X86,2)</f>
        <v>0</v>
      </c>
    </row>
    <row r="87" spans="1:26" ht="18" customHeight="1" x14ac:dyDescent="0.25">
      <c r="A87" s="896" t="s">
        <v>105</v>
      </c>
      <c r="B87" s="896"/>
      <c r="C87" s="896"/>
      <c r="D87" s="896"/>
      <c r="E87" s="896"/>
      <c r="F87" s="248" t="s">
        <v>84</v>
      </c>
      <c r="G87" s="139">
        <v>0</v>
      </c>
      <c r="H87" s="223" t="s">
        <v>81</v>
      </c>
      <c r="I87" s="41">
        <f>I54</f>
        <v>2.4480000000000001E-3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530.00300000000004</v>
      </c>
      <c r="C91" s="245"/>
      <c r="D91" s="867">
        <f>I6</f>
        <v>1.0355000000000001</v>
      </c>
      <c r="E91" s="867"/>
      <c r="F91" s="867"/>
      <c r="G91" s="122">
        <f>'[1]Detail 2025-26 FEFP Second'!AC3</f>
        <v>915.09</v>
      </c>
      <c r="H91" s="47" t="s">
        <v>68</v>
      </c>
      <c r="I91" s="727">
        <f>ROUND(B91*D91*G91,2)</f>
        <v>502217.96</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530.00300000000004</v>
      </c>
      <c r="C93" s="109"/>
      <c r="D93" s="109"/>
      <c r="E93" s="937" t="s">
        <v>112</v>
      </c>
      <c r="F93" s="937"/>
      <c r="G93" s="937"/>
      <c r="H93" s="937"/>
      <c r="I93" s="937"/>
      <c r="J93" s="127">
        <f>IF(A1=75,0,I92+I91+I90)</f>
        <v>502217.96</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353</v>
      </c>
      <c r="D97" s="279">
        <v>344</v>
      </c>
      <c r="E97" s="989">
        <f>(C97+D97)/2</f>
        <v>348.5</v>
      </c>
      <c r="F97" s="940"/>
      <c r="G97" s="940"/>
      <c r="H97" s="224" t="s">
        <v>117</v>
      </c>
      <c r="I97" s="130">
        <f>IF(A1&gt;67,0,INDEX('[1]Transportation Per Student'!F$1:F$65536,MATCH(A1,'[1]Transportation Per Student'!B$1:B$65536)))</f>
        <v>617</v>
      </c>
      <c r="J97" s="138">
        <f>ROUND(I97*E97,2)</f>
        <v>215024.5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4650627.28</v>
      </c>
      <c r="L107" s="576"/>
      <c r="R107" s="860" t="s">
        <v>125</v>
      </c>
      <c r="S107" s="860"/>
      <c r="T107" s="860"/>
      <c r="U107" s="860"/>
      <c r="V107" s="860"/>
      <c r="W107" s="860"/>
      <c r="X107" s="860"/>
      <c r="Y107" s="219">
        <f>SUM(Y106,Y105,Y97,Y96,Y93,Y86,Y85,Y84,Y70,Y69,Y67,Y33,Y71,Y50,Y87,Y83)</f>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4437913.1100000003</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4437913.1100000003</v>
      </c>
      <c r="J114" s="296">
        <f>ROUND(IF(E28=0,0,IF(E28&gt;250,-(((250/E28)*I114)*IF(H114="H",0.02,0.05)),IF(H114="H",-0.02*I114,-0.05*I114))),2)</f>
        <v>-42092.66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4608534.62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Payments'!R98</f>
        <v>-2281590.7400000002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2326943.88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387823.98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46665.599999999999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66"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460</v>
      </c>
      <c r="B2" s="102"/>
      <c r="C2" s="102"/>
      <c r="D2" s="102"/>
      <c r="E2" s="100"/>
      <c r="F2" s="100"/>
      <c r="G2" s="100"/>
      <c r="H2" s="100"/>
      <c r="I2" s="100"/>
      <c r="J2" s="100"/>
      <c r="K2" s="6"/>
      <c r="L2" s="6"/>
      <c r="M2" s="6"/>
      <c r="N2" s="6"/>
      <c r="O2" s="6"/>
      <c r="P2" s="6"/>
      <c r="Q2" s="6"/>
      <c r="R2" s="873" t="str">
        <f>Revenue_Estimate_Worksheet_for___________Charter_School</f>
        <v>Revenue Estimate Worksheet: Palm Beach Maritime Academy Secondary - 3924</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Second'!$C$1:$C$65536,MATCH('3924'!$A$1,'[1]Detail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95.41</v>
      </c>
      <c r="D14" s="415">
        <v>93.42</v>
      </c>
      <c r="E14" s="965">
        <f t="shared" si="0"/>
        <v>188.82999999999998</v>
      </c>
      <c r="F14" s="965"/>
      <c r="G14" s="966">
        <v>1</v>
      </c>
      <c r="H14" s="966"/>
      <c r="I14" s="578">
        <f t="shared" si="2"/>
        <v>188.83</v>
      </c>
      <c r="J14" s="579">
        <f>ROUND(ROUND(ROUND(I14*$E$6,4)*($I$6),2)*(MAX($I$7,1)),2)</f>
        <v>1050523.0900000001</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21.5</v>
      </c>
      <c r="D15" s="415">
        <v>20.5</v>
      </c>
      <c r="E15" s="965">
        <f t="shared" si="0"/>
        <v>42</v>
      </c>
      <c r="F15" s="965"/>
      <c r="G15" s="966">
        <v>1</v>
      </c>
      <c r="H15" s="966"/>
      <c r="I15" s="578">
        <f t="shared" si="2"/>
        <v>42</v>
      </c>
      <c r="J15" s="579">
        <f t="shared" si="1"/>
        <v>233659.75</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61.62</v>
      </c>
      <c r="D16" s="415">
        <v>60.91</v>
      </c>
      <c r="E16" s="965">
        <f t="shared" si="0"/>
        <v>122.53</v>
      </c>
      <c r="F16" s="965"/>
      <c r="G16" s="966">
        <v>0.97199999999999998</v>
      </c>
      <c r="H16" s="966"/>
      <c r="I16" s="578">
        <f t="shared" si="2"/>
        <v>119.0992</v>
      </c>
      <c r="J16" s="579">
        <f t="shared" si="1"/>
        <v>662587.82999999996</v>
      </c>
      <c r="M16" s="2"/>
      <c r="R16" s="858" t="s">
        <v>24</v>
      </c>
      <c r="S16" s="858"/>
      <c r="T16" s="889">
        <f t="shared" si="3"/>
        <v>0</v>
      </c>
      <c r="U16" s="889"/>
      <c r="V16" s="894">
        <v>1</v>
      </c>
      <c r="W16" s="894"/>
      <c r="X16" s="156">
        <f t="shared" si="4"/>
        <v>0</v>
      </c>
      <c r="Y16" s="266">
        <f t="shared" si="6"/>
        <v>0</v>
      </c>
    </row>
    <row r="17" spans="1:25" x14ac:dyDescent="0.25">
      <c r="A17" s="859" t="s">
        <v>25</v>
      </c>
      <c r="B17" s="859"/>
      <c r="C17" s="415">
        <v>12.04</v>
      </c>
      <c r="D17" s="415">
        <v>12.46</v>
      </c>
      <c r="E17" s="965">
        <f t="shared" si="0"/>
        <v>24.5</v>
      </c>
      <c r="F17" s="965"/>
      <c r="G17" s="966">
        <v>0.97199999999999998</v>
      </c>
      <c r="H17" s="966"/>
      <c r="I17" s="578">
        <f t="shared" si="2"/>
        <v>23.814</v>
      </c>
      <c r="J17" s="579">
        <f t="shared" si="1"/>
        <v>132485.07999999999</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18.29</v>
      </c>
      <c r="D25" s="415">
        <v>17.75</v>
      </c>
      <c r="E25" s="965">
        <f t="shared" si="0"/>
        <v>36.04</v>
      </c>
      <c r="F25" s="965"/>
      <c r="G25" s="966">
        <v>1.165</v>
      </c>
      <c r="H25" s="966"/>
      <c r="I25" s="578">
        <f t="shared" si="2"/>
        <v>41.986600000000003</v>
      </c>
      <c r="J25" s="579">
        <f t="shared" si="1"/>
        <v>233585.2</v>
      </c>
      <c r="M25" s="2"/>
      <c r="R25" s="858" t="s">
        <v>33</v>
      </c>
      <c r="S25" s="858"/>
      <c r="T25" s="889">
        <f t="shared" si="3"/>
        <v>0</v>
      </c>
      <c r="U25" s="889"/>
      <c r="V25" s="894">
        <v>1</v>
      </c>
      <c r="W25" s="894"/>
      <c r="X25" s="156">
        <f t="shared" si="4"/>
        <v>0</v>
      </c>
      <c r="Y25" s="266">
        <f t="shared" si="6"/>
        <v>0</v>
      </c>
    </row>
    <row r="26" spans="1:25" x14ac:dyDescent="0.25">
      <c r="A26" s="859" t="s">
        <v>34</v>
      </c>
      <c r="B26" s="859"/>
      <c r="C26" s="415">
        <v>7.93</v>
      </c>
      <c r="D26" s="415">
        <v>7.69</v>
      </c>
      <c r="E26" s="965">
        <f t="shared" si="0"/>
        <v>15.620000000000001</v>
      </c>
      <c r="F26" s="965"/>
      <c r="G26" s="966">
        <v>1.165</v>
      </c>
      <c r="H26" s="966"/>
      <c r="I26" s="578">
        <f t="shared" si="2"/>
        <v>18.197299999999998</v>
      </c>
      <c r="J26" s="579">
        <f t="shared" si="1"/>
        <v>101237.54</v>
      </c>
      <c r="M26" s="2"/>
      <c r="R26" s="858" t="s">
        <v>34</v>
      </c>
      <c r="S26" s="858"/>
      <c r="T26" s="889">
        <f t="shared" si="3"/>
        <v>0</v>
      </c>
      <c r="U26" s="889"/>
      <c r="V26" s="894">
        <v>1</v>
      </c>
      <c r="W26" s="894"/>
      <c r="X26" s="156">
        <f t="shared" si="4"/>
        <v>0</v>
      </c>
      <c r="Y26" s="266">
        <f t="shared" si="6"/>
        <v>0</v>
      </c>
    </row>
    <row r="27" spans="1:25" x14ac:dyDescent="0.25">
      <c r="A27" s="864" t="s">
        <v>35</v>
      </c>
      <c r="B27" s="864"/>
      <c r="C27" s="416">
        <v>2.2200000000000002</v>
      </c>
      <c r="D27" s="416">
        <v>2.67</v>
      </c>
      <c r="E27" s="961">
        <f t="shared" si="0"/>
        <v>4.8900000000000006</v>
      </c>
      <c r="F27" s="961"/>
      <c r="G27" s="962">
        <v>1.081</v>
      </c>
      <c r="H27" s="962"/>
      <c r="I27" s="22">
        <f t="shared" si="2"/>
        <v>5.2861000000000002</v>
      </c>
      <c r="J27" s="127">
        <f t="shared" si="1"/>
        <v>29408.3</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219.01</v>
      </c>
      <c r="D28" s="126">
        <f>SUM(D12:D27)</f>
        <v>215.39999999999998</v>
      </c>
      <c r="E28" s="964">
        <f>SUM(E12:E27)</f>
        <v>434.41</v>
      </c>
      <c r="F28" s="964"/>
      <c r="G28" s="959"/>
      <c r="H28" s="959"/>
      <c r="I28" s="23">
        <f>SUM(I12:I27)</f>
        <v>439.21320000000003</v>
      </c>
      <c r="J28" s="127">
        <f>SUM(J12:J27)</f>
        <v>2443486.79</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439.21320000000003</v>
      </c>
      <c r="H33" s="959" t="s">
        <v>45</v>
      </c>
      <c r="I33" s="959"/>
      <c r="J33" s="32">
        <f>SUM(J32,J28)</f>
        <v>2443486.79</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2459765.64</v>
      </c>
      <c r="H36" s="223" t="s">
        <v>49</v>
      </c>
      <c r="I36" s="38">
        <v>6.6699999999999995E-2</v>
      </c>
      <c r="J36" s="131">
        <f>ROUND(G36*I36,2)</f>
        <v>164066.37</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2459765.64</v>
      </c>
      <c r="H37" s="223" t="s">
        <v>49</v>
      </c>
      <c r="I37" s="38">
        <v>5.4000000000000003E-3</v>
      </c>
      <c r="J37" s="131">
        <f>ROUND(G37*I37,2)</f>
        <v>13282.73</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177349.1</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20.5</v>
      </c>
      <c r="D44" s="415">
        <v>19.55</v>
      </c>
      <c r="E44" s="952">
        <f t="shared" si="7"/>
        <v>40.049999999999997</v>
      </c>
      <c r="F44" s="952"/>
      <c r="G44" s="47" t="s">
        <v>60</v>
      </c>
      <c r="H44" s="223">
        <v>251</v>
      </c>
      <c r="I44" s="136">
        <f>INDEX('[1]111-112-113 ADDITIONAL FUND'!G$1:G$65536,MATCH($A$1,'[1]111-112-113 ADDITIONAL FUND'!A$1:A$65536))</f>
        <v>1173</v>
      </c>
      <c r="J44" s="137">
        <f t="shared" si="8"/>
        <v>46978.65</v>
      </c>
      <c r="L44" s="3"/>
      <c r="M44" s="2"/>
      <c r="Q44" s="4"/>
      <c r="R44" s="901"/>
      <c r="S44" s="901"/>
      <c r="T44" s="903"/>
      <c r="U44" s="903"/>
      <c r="V44" s="182" t="s">
        <v>60</v>
      </c>
      <c r="W44" s="239">
        <v>251</v>
      </c>
      <c r="X44" s="134">
        <f t="shared" si="9"/>
        <v>1173</v>
      </c>
      <c r="Y44" s="269">
        <f t="shared" si="10"/>
        <v>0</v>
      </c>
    </row>
    <row r="45" spans="1:25" x14ac:dyDescent="0.25">
      <c r="A45" s="958"/>
      <c r="B45" s="958"/>
      <c r="C45" s="415">
        <v>1</v>
      </c>
      <c r="D45" s="415">
        <v>0.95</v>
      </c>
      <c r="E45" s="952">
        <f t="shared" si="7"/>
        <v>1.95</v>
      </c>
      <c r="F45" s="952"/>
      <c r="G45" s="47" t="s">
        <v>60</v>
      </c>
      <c r="H45" s="223">
        <v>252</v>
      </c>
      <c r="I45" s="136">
        <f>INDEX('[1]111-112-113 ADDITIONAL FUND'!H$1:H$65536,MATCH($A$1,'[1]111-112-113 ADDITIONAL FUND'!A$1:A$65536))</f>
        <v>3506</v>
      </c>
      <c r="J45" s="46">
        <f t="shared" si="8"/>
        <v>6836.7</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11.04</v>
      </c>
      <c r="D47" s="415">
        <v>11.42</v>
      </c>
      <c r="E47" s="952">
        <f t="shared" si="7"/>
        <v>22.46</v>
      </c>
      <c r="F47" s="952"/>
      <c r="G47" s="47" t="s">
        <v>61</v>
      </c>
      <c r="H47" s="223">
        <v>251</v>
      </c>
      <c r="I47" s="136">
        <f>INDEX('[1]111-112-113 ADDITIONAL FUND'!J$1:J$65536,MATCH($A$1,'[1]111-112-113 ADDITIONAL FUND'!A$1:A$65536))</f>
        <v>835</v>
      </c>
      <c r="J47" s="46">
        <f t="shared" si="8"/>
        <v>18754.099999999999</v>
      </c>
      <c r="M47" s="2"/>
      <c r="R47" s="901"/>
      <c r="S47" s="901"/>
      <c r="T47" s="903"/>
      <c r="U47" s="903"/>
      <c r="V47" s="182" t="s">
        <v>61</v>
      </c>
      <c r="W47" s="239">
        <v>251</v>
      </c>
      <c r="X47" s="134">
        <f t="shared" si="9"/>
        <v>835</v>
      </c>
      <c r="Y47" s="269">
        <f t="shared" si="10"/>
        <v>0</v>
      </c>
    </row>
    <row r="48" spans="1:25" ht="15.75" customHeight="1" x14ac:dyDescent="0.25">
      <c r="A48" s="958"/>
      <c r="B48" s="958"/>
      <c r="C48" s="415">
        <v>1</v>
      </c>
      <c r="D48" s="415">
        <v>1.04</v>
      </c>
      <c r="E48" s="952">
        <f t="shared" si="7"/>
        <v>2.04</v>
      </c>
      <c r="F48" s="952"/>
      <c r="G48" s="47" t="s">
        <v>61</v>
      </c>
      <c r="H48" s="223">
        <v>252</v>
      </c>
      <c r="I48" s="136">
        <f>INDEX('[1]111-112-113 ADDITIONAL FUND'!K$1:K$65536,MATCH($A$1,'[1]111-112-113 ADDITIONAL FUND'!A$1:A$65536))</f>
        <v>3168</v>
      </c>
      <c r="J48" s="46">
        <f t="shared" si="8"/>
        <v>6462.72</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33.54</v>
      </c>
      <c r="D50" s="585">
        <f>SUM(D41:D49)</f>
        <v>32.96</v>
      </c>
      <c r="E50" s="954">
        <f>SUM(E41:E49)</f>
        <v>66.500000000000014</v>
      </c>
      <c r="F50" s="954"/>
      <c r="G50" s="910" t="s">
        <v>63</v>
      </c>
      <c r="H50" s="910"/>
      <c r="I50" s="910"/>
      <c r="J50" s="276">
        <f>SUM(J41:J49)</f>
        <v>79032.17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434.41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2.0179999999999998E-3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439.21320000000003</v>
      </c>
      <c r="U55" s="184" t="s">
        <v>66</v>
      </c>
      <c r="V55" s="185"/>
      <c r="W55" s="186" t="s">
        <v>71</v>
      </c>
      <c r="X55" s="917">
        <f>I56</f>
        <v>229051.25000000003</v>
      </c>
      <c r="Y55" s="917"/>
    </row>
    <row r="56" spans="1:25" ht="16.5" customHeight="1" x14ac:dyDescent="0.25">
      <c r="A56" s="897" t="s">
        <v>70</v>
      </c>
      <c r="B56" s="897"/>
      <c r="C56" s="237"/>
      <c r="D56" s="237"/>
      <c r="E56" s="48">
        <f>G33</f>
        <v>439.21320000000003</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1.918E-3</v>
      </c>
      <c r="Y56" s="918"/>
    </row>
    <row r="57" spans="1:25" ht="18.75" customHeight="1" x14ac:dyDescent="0.25">
      <c r="A57" s="237"/>
      <c r="H57" s="53" t="s">
        <v>68</v>
      </c>
      <c r="I57" s="943">
        <f>IFERROR(ROUND(E56/I56,6),0)</f>
        <v>1.918E-3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434.41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2.3340000000000001E-3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434.41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2.0200000000000001E-3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434.41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2.3370000000000001E-3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2.0200000000000001E-3</v>
      </c>
      <c r="J68" s="138">
        <f>ROUND(G68*I68,2)</f>
        <v>95527.31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2.0179999999999998E-3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2.3370000000000001E-3</v>
      </c>
      <c r="J71" s="138">
        <f>ROUND(G71*I71,2)</f>
        <v>44795.34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2.3340000000000001E-3</v>
      </c>
      <c r="J72" s="138">
        <f>ROUND(G72*I72,2)</f>
        <v>26950.44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v>1.44</v>
      </c>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0.5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0.32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2.2599999999999998</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1.9699999999999999E-4</v>
      </c>
      <c r="J84" s="728">
        <f>ROUND(G84*I84,2)</f>
        <v>12464.14</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1.918E-3</v>
      </c>
      <c r="J85" s="728">
        <f>ROUND(G85*I85,2)</f>
        <v>515589.62</v>
      </c>
      <c r="K85" s="70"/>
      <c r="L85" s="70"/>
      <c r="M85" s="71"/>
      <c r="N85" s="70"/>
      <c r="O85" s="70"/>
      <c r="P85" s="70"/>
      <c r="Q85" s="70"/>
      <c r="R85" s="860" t="s">
        <v>172</v>
      </c>
      <c r="S85" s="860"/>
      <c r="T85" s="860"/>
      <c r="U85" s="253"/>
      <c r="V85" s="171">
        <f>G85</f>
        <v>268816278</v>
      </c>
      <c r="W85" s="239" t="s">
        <v>81</v>
      </c>
      <c r="X85" s="176">
        <f>X56</f>
        <v>1.918E-3</v>
      </c>
      <c r="Y85" s="266">
        <f t="shared" ref="Y85:Y87" si="12">ROUND(V85*X85,2)</f>
        <v>515589.62</v>
      </c>
    </row>
    <row r="86" spans="1:26" ht="14.25" customHeight="1" x14ac:dyDescent="0.25">
      <c r="A86" s="896" t="s">
        <v>104</v>
      </c>
      <c r="B86" s="896"/>
      <c r="C86" s="896"/>
      <c r="D86" s="896"/>
      <c r="E86" s="896"/>
      <c r="F86" s="248" t="s">
        <v>103</v>
      </c>
      <c r="G86" s="139">
        <v>0</v>
      </c>
      <c r="H86" s="223" t="s">
        <v>81</v>
      </c>
      <c r="I86" s="41">
        <f>I57</f>
        <v>1.918E-3</v>
      </c>
      <c r="J86" s="728">
        <f>ROUND(G86*I86,2)</f>
        <v>0</v>
      </c>
      <c r="K86" s="70"/>
      <c r="L86" s="71"/>
      <c r="M86" s="76"/>
      <c r="N86" s="76"/>
      <c r="O86" s="76"/>
      <c r="P86" s="76"/>
      <c r="Q86" s="70"/>
      <c r="R86" s="860" t="s">
        <v>173</v>
      </c>
      <c r="S86" s="860"/>
      <c r="T86" s="860"/>
      <c r="U86" s="253"/>
      <c r="V86" s="203">
        <f>G86</f>
        <v>0</v>
      </c>
      <c r="W86" s="239" t="s">
        <v>81</v>
      </c>
      <c r="X86" s="176">
        <f>X56</f>
        <v>1.918E-3</v>
      </c>
      <c r="Y86" s="266">
        <f t="shared" si="12"/>
        <v>0</v>
      </c>
    </row>
    <row r="87" spans="1:26" ht="18" customHeight="1" x14ac:dyDescent="0.25">
      <c r="A87" s="896" t="s">
        <v>105</v>
      </c>
      <c r="B87" s="896"/>
      <c r="C87" s="896"/>
      <c r="D87" s="896"/>
      <c r="E87" s="896"/>
      <c r="F87" s="248" t="s">
        <v>84</v>
      </c>
      <c r="G87" s="139">
        <v>0</v>
      </c>
      <c r="H87" s="223" t="s">
        <v>81</v>
      </c>
      <c r="I87" s="41">
        <f>I54</f>
        <v>2.0179999999999998E-3</v>
      </c>
      <c r="J87" s="72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272.81659999999999</v>
      </c>
      <c r="C91" s="245"/>
      <c r="D91" s="867">
        <f>I6</f>
        <v>1.0355000000000001</v>
      </c>
      <c r="E91" s="867"/>
      <c r="F91" s="867"/>
      <c r="G91" s="122">
        <f>'[1]Detail 2025-26 FEFP Second'!AC3</f>
        <v>915.09</v>
      </c>
      <c r="H91" s="47" t="s">
        <v>68</v>
      </c>
      <c r="I91" s="727">
        <f>ROUND(B91*D91*G91,2)</f>
        <v>258514.38</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166.39660000000001</v>
      </c>
      <c r="C92" s="109"/>
      <c r="D92" s="867">
        <f>I6</f>
        <v>1.0355000000000001</v>
      </c>
      <c r="E92" s="867"/>
      <c r="F92" s="867"/>
      <c r="G92" s="122">
        <f>'[1]Detail 2025-26 FEFP Second'!AD3</f>
        <v>917.3</v>
      </c>
      <c r="H92" s="47" t="s">
        <v>68</v>
      </c>
      <c r="I92" s="727">
        <f>ROUND(B92*D92*G92,2)</f>
        <v>158054.17000000001</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439.21320000000003</v>
      </c>
      <c r="C93" s="109"/>
      <c r="D93" s="109"/>
      <c r="E93" s="937" t="s">
        <v>112</v>
      </c>
      <c r="F93" s="937"/>
      <c r="G93" s="937"/>
      <c r="H93" s="937"/>
      <c r="I93" s="937"/>
      <c r="J93" s="127">
        <f>IF(A1=75,0,I92+I91+I90)</f>
        <v>416568.55000000005</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238</v>
      </c>
      <c r="D97" s="279">
        <v>251</v>
      </c>
      <c r="E97" s="989">
        <f>(C97+D97)/2</f>
        <v>244.5</v>
      </c>
      <c r="F97" s="940"/>
      <c r="G97" s="940"/>
      <c r="H97" s="224" t="s">
        <v>117</v>
      </c>
      <c r="I97" s="130">
        <f>IF(A1&gt;67,0,INDEX('[1]Transportation Per Student'!F$1:F$65536,MATCH(A1,'[1]Transportation Per Student'!B$1:B$65536)))</f>
        <v>617</v>
      </c>
      <c r="J97" s="138">
        <f>ROUND(I97*E97,2)</f>
        <v>150856.5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3785270.8600000003</v>
      </c>
      <c r="L107" s="576"/>
      <c r="R107" s="860" t="s">
        <v>125</v>
      </c>
      <c r="S107" s="860"/>
      <c r="T107" s="860"/>
      <c r="U107" s="860"/>
      <c r="V107" s="860"/>
      <c r="W107" s="860"/>
      <c r="X107" s="860"/>
      <c r="Y107" s="219">
        <f>SUM(Y106,Y105,Y97,Y96,Y93,Y86,Y85,Y84,Y70,Y69,Y67,Y33,Y71,Y50,Y87,Y83)</f>
        <v>515589.62</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3607921.7600000002</v>
      </c>
      <c r="R109" s="170" t="s">
        <v>180</v>
      </c>
      <c r="S109" s="170"/>
      <c r="T109" s="170"/>
      <c r="U109" s="170"/>
      <c r="V109" s="170"/>
      <c r="W109" s="170"/>
      <c r="X109" s="170"/>
      <c r="Y109" s="220">
        <f>Y107-Y38</f>
        <v>515589.62</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515589.62</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3607921.7600000002</v>
      </c>
      <c r="J114" s="296">
        <f>ROUND(IF(E28=0,0,IF(E28&gt;250,-(((250/E28)*I114)*IF(H114="H",0.02,0.05)),IF(H114="H",-0.02*I114,-0.05*I114))),2)</f>
        <v>-103816.72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3681454.14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Payments'!R99</f>
        <v>-1840991.5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1840462.6400000001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306743.77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76579.37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76" workbookViewId="0">
      <selection activeCell="L54" sqref="L5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461</v>
      </c>
      <c r="B2" s="102"/>
      <c r="C2" s="102"/>
      <c r="D2" s="102"/>
      <c r="E2" s="100"/>
      <c r="F2" s="100"/>
      <c r="G2" s="100"/>
      <c r="H2" s="100"/>
      <c r="I2" s="100"/>
      <c r="J2" s="100"/>
      <c r="K2" s="6"/>
      <c r="L2" s="6"/>
      <c r="M2" s="6"/>
      <c r="N2" s="6"/>
      <c r="O2" s="6"/>
      <c r="P2" s="6"/>
      <c r="Q2" s="6"/>
      <c r="R2" s="873" t="str">
        <f>Revenue_Estimate_Worksheet_for___________Charter_School</f>
        <v>Revenue Estimate Worksheet: Ben Gamla Charter School - 3941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Second'!$C$1:$C$65536,MATCH('3941'!$A$1,'[1]Detail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60.91</v>
      </c>
      <c r="D12" s="411">
        <v>57.34</v>
      </c>
      <c r="E12" s="979">
        <f t="shared" ref="E12:E27" si="0">IF($D$28=0,C12*2,C12+D12)</f>
        <v>118.25</v>
      </c>
      <c r="F12" s="979"/>
      <c r="G12" s="980">
        <v>1.1080000000000001</v>
      </c>
      <c r="H12" s="980"/>
      <c r="I12" s="578">
        <f>ROUND(E12*G12,4)</f>
        <v>131.02099999999999</v>
      </c>
      <c r="J12" s="579">
        <f t="shared" ref="J12:J27" si="1">ROUND(ROUND(ROUND(I12*$E$6,4)*($I$6),2)*(MAX($I$7,1)),2)</f>
        <v>728912.71</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9</v>
      </c>
      <c r="D13" s="415">
        <v>10.48</v>
      </c>
      <c r="E13" s="965">
        <f t="shared" si="0"/>
        <v>19.48</v>
      </c>
      <c r="F13" s="965"/>
      <c r="G13" s="966">
        <v>1.1080000000000001</v>
      </c>
      <c r="H13" s="966"/>
      <c r="I13" s="578">
        <f t="shared" ref="I13:I27" si="2">ROUND(E13*G13,4)</f>
        <v>21.5838</v>
      </c>
      <c r="J13" s="579">
        <f t="shared" si="1"/>
        <v>120077.74</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24.59</v>
      </c>
      <c r="D14" s="415">
        <v>25.75</v>
      </c>
      <c r="E14" s="965">
        <f t="shared" si="0"/>
        <v>50.34</v>
      </c>
      <c r="F14" s="965"/>
      <c r="G14" s="966">
        <v>1</v>
      </c>
      <c r="H14" s="966"/>
      <c r="I14" s="578">
        <f t="shared" si="2"/>
        <v>50.34</v>
      </c>
      <c r="J14" s="579">
        <f>ROUND(ROUND(ROUND(I14*$E$6,4)*($I$6),2)*(MAX($I$7,1)),2)</f>
        <v>280057.90000000002</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7.49</v>
      </c>
      <c r="D15" s="415">
        <v>8.01</v>
      </c>
      <c r="E15" s="965">
        <f t="shared" si="0"/>
        <v>15.5</v>
      </c>
      <c r="F15" s="965"/>
      <c r="G15" s="966">
        <v>1</v>
      </c>
      <c r="H15" s="966"/>
      <c r="I15" s="578">
        <f t="shared" si="2"/>
        <v>15.5</v>
      </c>
      <c r="J15" s="579">
        <f t="shared" si="1"/>
        <v>86231.57</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9.18</v>
      </c>
      <c r="D24" s="415">
        <v>9.4700000000000006</v>
      </c>
      <c r="E24" s="965">
        <f t="shared" si="0"/>
        <v>18.649999999999999</v>
      </c>
      <c r="F24" s="965"/>
      <c r="G24" s="966">
        <v>1.165</v>
      </c>
      <c r="H24" s="966"/>
      <c r="I24" s="578">
        <f t="shared" si="2"/>
        <v>21.7273</v>
      </c>
      <c r="J24" s="579">
        <f t="shared" si="1"/>
        <v>120876.08</v>
      </c>
      <c r="M24" s="2"/>
      <c r="R24" s="858" t="s">
        <v>32</v>
      </c>
      <c r="S24" s="858"/>
      <c r="T24" s="889">
        <f t="shared" si="3"/>
        <v>0</v>
      </c>
      <c r="U24" s="889"/>
      <c r="V24" s="894">
        <v>1</v>
      </c>
      <c r="W24" s="894"/>
      <c r="X24" s="156">
        <f t="shared" si="4"/>
        <v>0</v>
      </c>
      <c r="Y24" s="266">
        <f t="shared" si="6"/>
        <v>0</v>
      </c>
    </row>
    <row r="25" spans="1:25" x14ac:dyDescent="0.25">
      <c r="A25" s="859" t="s">
        <v>33</v>
      </c>
      <c r="B25" s="859"/>
      <c r="C25" s="415">
        <v>3.41</v>
      </c>
      <c r="D25" s="415">
        <v>3.52</v>
      </c>
      <c r="E25" s="965">
        <f t="shared" si="0"/>
        <v>6.93</v>
      </c>
      <c r="F25" s="965"/>
      <c r="G25" s="966">
        <v>1.165</v>
      </c>
      <c r="H25" s="966"/>
      <c r="I25" s="578">
        <f t="shared" si="2"/>
        <v>8.0734999999999992</v>
      </c>
      <c r="J25" s="579">
        <f t="shared" si="1"/>
        <v>44915.519999999997</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114.57999999999998</v>
      </c>
      <c r="D28" s="126">
        <f>SUM(D12:D27)</f>
        <v>114.57000000000001</v>
      </c>
      <c r="E28" s="964">
        <f>SUM(E12:E27)</f>
        <v>229.15</v>
      </c>
      <c r="F28" s="964"/>
      <c r="G28" s="959"/>
      <c r="H28" s="959"/>
      <c r="I28" s="23">
        <f>SUM(I12:I27)</f>
        <v>248.2456</v>
      </c>
      <c r="J28" s="127">
        <f>SUM(J12:J27)</f>
        <v>1381071.5200000003</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248.2456</v>
      </c>
      <c r="H33" s="959" t="s">
        <v>45</v>
      </c>
      <c r="I33" s="959"/>
      <c r="J33" s="32">
        <f>SUM(J32,J28)</f>
        <v>1381071.5200000003</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1381017</v>
      </c>
      <c r="H36" s="223" t="s">
        <v>49</v>
      </c>
      <c r="I36" s="38">
        <v>6.6699999999999995E-2</v>
      </c>
      <c r="J36" s="131">
        <f>ROUND(G36*I36,2)</f>
        <v>92113.83</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1381017</v>
      </c>
      <c r="H37" s="223" t="s">
        <v>49</v>
      </c>
      <c r="I37" s="38">
        <v>5.4000000000000003E-3</v>
      </c>
      <c r="J37" s="131">
        <f>ROUND(G37*I37,2)</f>
        <v>7457.49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99571.32</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7</v>
      </c>
      <c r="D41" s="415">
        <v>8.15</v>
      </c>
      <c r="E41" s="952">
        <f t="shared" ref="E41:E49" si="7">IF($D$50=0,C41*2,C41+D41)</f>
        <v>15.15</v>
      </c>
      <c r="F41" s="952"/>
      <c r="G41" s="223" t="s">
        <v>59</v>
      </c>
      <c r="H41" s="223">
        <v>251</v>
      </c>
      <c r="I41" s="136">
        <f>INDEX('[1]111-112-113 ADDITIONAL FUND'!D$1:D$65536,MATCH($A$1,'[1]111-112-113 ADDITIONAL FUND'!A$1:A$65536))</f>
        <v>1047</v>
      </c>
      <c r="J41" s="727">
        <f t="shared" ref="J41:J49" si="8">ROUND(E41*I41,2)</f>
        <v>15862.05</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2</v>
      </c>
      <c r="D42" s="415">
        <v>2.33</v>
      </c>
      <c r="E42" s="952">
        <f t="shared" si="7"/>
        <v>4.33</v>
      </c>
      <c r="F42" s="952"/>
      <c r="G42" s="223" t="s">
        <v>59</v>
      </c>
      <c r="H42" s="223">
        <v>252</v>
      </c>
      <c r="I42" s="136">
        <f>INDEX('[1]111-112-113 ADDITIONAL FUND'!E$1:E$65536,MATCH($A$1,'[1]111-112-113 ADDITIONAL FUND'!A$1:A$65536))</f>
        <v>3380</v>
      </c>
      <c r="J42" s="727">
        <f t="shared" si="8"/>
        <v>14635.4</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5.49</v>
      </c>
      <c r="D44" s="415">
        <v>5.87</v>
      </c>
      <c r="E44" s="952">
        <f t="shared" si="7"/>
        <v>11.36</v>
      </c>
      <c r="F44" s="952"/>
      <c r="G44" s="47" t="s">
        <v>60</v>
      </c>
      <c r="H44" s="223">
        <v>251</v>
      </c>
      <c r="I44" s="136">
        <f>INDEX('[1]111-112-113 ADDITIONAL FUND'!G$1:G$65536,MATCH($A$1,'[1]111-112-113 ADDITIONAL FUND'!A$1:A$65536))</f>
        <v>1173</v>
      </c>
      <c r="J44" s="727">
        <f t="shared" si="8"/>
        <v>13325.28</v>
      </c>
      <c r="L44" s="3"/>
      <c r="M44" s="2"/>
      <c r="Q44" s="4"/>
      <c r="R44" s="901"/>
      <c r="S44" s="901"/>
      <c r="T44" s="903"/>
      <c r="U44" s="903"/>
      <c r="V44" s="182" t="s">
        <v>60</v>
      </c>
      <c r="W44" s="239">
        <v>251</v>
      </c>
      <c r="X44" s="134">
        <f t="shared" si="9"/>
        <v>1173</v>
      </c>
      <c r="Y44" s="269">
        <f t="shared" si="10"/>
        <v>0</v>
      </c>
    </row>
    <row r="45" spans="1:25" x14ac:dyDescent="0.25">
      <c r="A45" s="958"/>
      <c r="B45" s="958"/>
      <c r="C45" s="415">
        <v>2</v>
      </c>
      <c r="D45" s="415">
        <v>2.14</v>
      </c>
      <c r="E45" s="952">
        <f t="shared" si="7"/>
        <v>4.1400000000000006</v>
      </c>
      <c r="F45" s="952"/>
      <c r="G45" s="47" t="s">
        <v>60</v>
      </c>
      <c r="H45" s="223">
        <v>252</v>
      </c>
      <c r="I45" s="136">
        <f>INDEX('[1]111-112-113 ADDITIONAL FUND'!H$1:H$65536,MATCH($A$1,'[1]111-112-113 ADDITIONAL FUND'!A$1:A$65536))</f>
        <v>3506</v>
      </c>
      <c r="J45" s="727">
        <f t="shared" si="8"/>
        <v>14514.84</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6">
        <v>0</v>
      </c>
      <c r="D49" s="416">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16.490000000000002</v>
      </c>
      <c r="D50" s="585">
        <f>SUM(D41:D49)</f>
        <v>18.490000000000002</v>
      </c>
      <c r="E50" s="954">
        <f>SUM(E41:E49)</f>
        <v>34.980000000000004</v>
      </c>
      <c r="F50" s="954"/>
      <c r="G50" s="910" t="s">
        <v>63</v>
      </c>
      <c r="H50" s="910"/>
      <c r="I50" s="910"/>
      <c r="J50" s="276">
        <f>SUM(J41:J49)</f>
        <v>58337.569999999992</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229.15</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1.0640000000000001E-3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248.2456</v>
      </c>
      <c r="U55" s="184" t="s">
        <v>66</v>
      </c>
      <c r="V55" s="185"/>
      <c r="W55" s="186" t="s">
        <v>71</v>
      </c>
      <c r="X55" s="917">
        <f>I56</f>
        <v>229051.25000000003</v>
      </c>
      <c r="Y55" s="917"/>
    </row>
    <row r="56" spans="1:25" ht="16.5" customHeight="1" x14ac:dyDescent="0.25">
      <c r="A56" s="897" t="s">
        <v>70</v>
      </c>
      <c r="B56" s="897"/>
      <c r="C56" s="237"/>
      <c r="D56" s="237"/>
      <c r="E56" s="48">
        <f>G33</f>
        <v>248.2456</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1.0839999999999999E-3</v>
      </c>
      <c r="Y56" s="918"/>
    </row>
    <row r="57" spans="1:25" ht="18.75" customHeight="1" x14ac:dyDescent="0.25">
      <c r="A57" s="237"/>
      <c r="H57" s="53" t="s">
        <v>68</v>
      </c>
      <c r="I57" s="943">
        <f>IFERROR(ROUND(E56/I56,6),0)</f>
        <v>1.0839999999999999E-3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229.15</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1.2310000000000001E-3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229.15</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1.0660000000000001E-3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229.15</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1.2329999999999999E-3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1.0660000000000001E-3</v>
      </c>
      <c r="J68" s="138">
        <f>ROUND(G68*I68,2)</f>
        <v>50411.94</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1.0640000000000001E-3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1.2329999999999999E-3</v>
      </c>
      <c r="J71" s="138">
        <f>ROUND(G71*I71,2)</f>
        <v>23634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1.2310000000000001E-3</v>
      </c>
      <c r="J72" s="138">
        <f>ROUND(G72*I72,2)</f>
        <v>14214.22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1.0839999999999999E-3</v>
      </c>
      <c r="J85" s="138">
        <f>ROUND(G85*I85,2)</f>
        <v>291396.84999999998</v>
      </c>
      <c r="K85" s="70"/>
      <c r="L85" s="70"/>
      <c r="M85" s="71"/>
      <c r="N85" s="70"/>
      <c r="O85" s="70"/>
      <c r="P85" s="70"/>
      <c r="Q85" s="70"/>
      <c r="R85" s="860" t="s">
        <v>172</v>
      </c>
      <c r="S85" s="860"/>
      <c r="T85" s="860"/>
      <c r="U85" s="253"/>
      <c r="V85" s="171">
        <f>G85</f>
        <v>268816278</v>
      </c>
      <c r="W85" s="239" t="s">
        <v>81</v>
      </c>
      <c r="X85" s="176">
        <f>X56</f>
        <v>1.0839999999999999E-3</v>
      </c>
      <c r="Y85" s="266">
        <f t="shared" ref="Y85:Y87" si="12">ROUND(V85*X85,2)</f>
        <v>291396.84999999998</v>
      </c>
    </row>
    <row r="86" spans="1:26" ht="14.25" customHeight="1" x14ac:dyDescent="0.25">
      <c r="A86" s="896" t="s">
        <v>104</v>
      </c>
      <c r="B86" s="896"/>
      <c r="C86" s="896"/>
      <c r="D86" s="896"/>
      <c r="E86" s="896"/>
      <c r="F86" s="248" t="s">
        <v>103</v>
      </c>
      <c r="G86" s="139">
        <v>0</v>
      </c>
      <c r="H86" s="223" t="s">
        <v>81</v>
      </c>
      <c r="I86" s="41">
        <f>I57</f>
        <v>1.0839999999999999E-3</v>
      </c>
      <c r="J86" s="138">
        <f>ROUND(G86*I86,2)</f>
        <v>0</v>
      </c>
      <c r="K86" s="70"/>
      <c r="L86" s="71"/>
      <c r="M86" s="76"/>
      <c r="N86" s="76"/>
      <c r="O86" s="76"/>
      <c r="P86" s="76"/>
      <c r="Q86" s="70"/>
      <c r="R86" s="860" t="s">
        <v>173</v>
      </c>
      <c r="S86" s="860"/>
      <c r="T86" s="860"/>
      <c r="U86" s="253"/>
      <c r="V86" s="203">
        <f>G86</f>
        <v>0</v>
      </c>
      <c r="W86" s="239" t="s">
        <v>81</v>
      </c>
      <c r="X86" s="176">
        <f>X56</f>
        <v>1.0839999999999999E-3</v>
      </c>
      <c r="Y86" s="266">
        <f t="shared" si="12"/>
        <v>0</v>
      </c>
    </row>
    <row r="87" spans="1:26" ht="18" customHeight="1" x14ac:dyDescent="0.25">
      <c r="A87" s="896" t="s">
        <v>105</v>
      </c>
      <c r="B87" s="896"/>
      <c r="C87" s="896"/>
      <c r="D87" s="896"/>
      <c r="E87" s="896"/>
      <c r="F87" s="248" t="s">
        <v>84</v>
      </c>
      <c r="G87" s="139">
        <v>0</v>
      </c>
      <c r="H87" s="223" t="s">
        <v>81</v>
      </c>
      <c r="I87" s="41">
        <f>I54</f>
        <v>1.0640000000000001E-3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174.33209999999997</v>
      </c>
      <c r="C90" s="245"/>
      <c r="D90" s="867">
        <f>I6</f>
        <v>1.0355000000000001</v>
      </c>
      <c r="E90" s="867"/>
      <c r="F90" s="867"/>
      <c r="G90" s="122">
        <f>'[1]Detail 2025-26 FEFP Second'!AB3</f>
        <v>958.42</v>
      </c>
      <c r="H90" s="47" t="s">
        <v>68</v>
      </c>
      <c r="I90" s="727">
        <f>ROUND(B90*D90*G90,2)</f>
        <v>173014.83</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73.913499999999999</v>
      </c>
      <c r="C91" s="245"/>
      <c r="D91" s="867">
        <f>I6</f>
        <v>1.0355000000000001</v>
      </c>
      <c r="E91" s="867"/>
      <c r="F91" s="867"/>
      <c r="G91" s="122">
        <f>'[1]Detail 2025-26 FEFP Second'!AC3</f>
        <v>915.09</v>
      </c>
      <c r="H91" s="47" t="s">
        <v>68</v>
      </c>
      <c r="I91" s="727">
        <f>ROUND(B91*D91*G91,2)</f>
        <v>70038.64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248.24559999999997</v>
      </c>
      <c r="C93" s="109"/>
      <c r="D93" s="109"/>
      <c r="E93" s="937" t="s">
        <v>112</v>
      </c>
      <c r="F93" s="937"/>
      <c r="G93" s="937"/>
      <c r="H93" s="937"/>
      <c r="I93" s="937"/>
      <c r="J93" s="127">
        <f>IF(A1=75,0,I92+I91+I90)</f>
        <v>243053.46999999997</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v>
      </c>
      <c r="D97" s="279">
        <v>0</v>
      </c>
      <c r="E97" s="989">
        <f>(C97+D97)/2</f>
        <v>1</v>
      </c>
      <c r="F97" s="940"/>
      <c r="G97" s="940"/>
      <c r="H97" s="224" t="s">
        <v>117</v>
      </c>
      <c r="I97" s="130">
        <f>IF(A1&gt;67,0,INDEX('[1]Transportation Per Student'!F$1:F$65536,MATCH(A1,'[1]Transportation Per Student'!B$1:B$65536)))</f>
        <v>617</v>
      </c>
      <c r="J97" s="138">
        <f>ROUND(I97*E97,2)</f>
        <v>617</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2062736.5700000003</v>
      </c>
      <c r="L107" s="576"/>
      <c r="R107" s="860" t="s">
        <v>125</v>
      </c>
      <c r="S107" s="860"/>
      <c r="T107" s="860"/>
      <c r="U107" s="860"/>
      <c r="V107" s="860"/>
      <c r="W107" s="860"/>
      <c r="X107" s="860"/>
      <c r="Y107" s="219">
        <f>SUM(Y106,Y105,Y97,Y96,Y93,Y86,Y85,Y84,Y70,Y69,Y67,Y33,Y71,Y50,Y87,Y83)</f>
        <v>291396.84999999998</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1963165.2500000002</v>
      </c>
      <c r="R109" s="170" t="s">
        <v>180</v>
      </c>
      <c r="S109" s="170"/>
      <c r="T109" s="170"/>
      <c r="U109" s="170"/>
      <c r="V109" s="170"/>
      <c r="W109" s="170"/>
      <c r="X109" s="170"/>
      <c r="Y109" s="220">
        <f>Y107-Y38</f>
        <v>291396.84999999998</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291396.84999999998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t="s">
        <v>436</v>
      </c>
      <c r="I114" s="710">
        <f>IF(I111=1,J111,J109)</f>
        <v>1963165.2500000002</v>
      </c>
      <c r="J114" s="711">
        <f>ROUND(IF(E28=0,0,IF(E28&gt;250,-(((250/E28)*I114)*IF(H114="H",0.02,0.05)),IF(H114="H",-0.02*I114,-0.05*I114))),2)</f>
        <v>-39263.31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2023473.2600000002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Payments'!R100</f>
        <v>-1010189.42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1013283.8400000002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168880.64000000001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462</v>
      </c>
      <c r="B2" s="102"/>
      <c r="C2" s="102"/>
      <c r="D2" s="102"/>
      <c r="E2" s="100"/>
      <c r="F2" s="100"/>
      <c r="G2" s="100"/>
      <c r="H2" s="100"/>
      <c r="I2" s="100"/>
      <c r="J2" s="732" t="s">
        <v>553</v>
      </c>
      <c r="K2" s="732"/>
      <c r="L2" s="6"/>
      <c r="M2" s="6"/>
      <c r="N2" s="6"/>
      <c r="O2" s="6"/>
      <c r="P2" s="6"/>
      <c r="Q2" s="6"/>
      <c r="R2" s="873" t="str">
        <f>Revenue_Estimate_Worksheet_for___________Charter_School</f>
        <v>Revenue Estimate Worksheet: Gardens School of Technology Arts - 3961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t="s">
        <v>184</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Second'!$C$1:$C$65536,MATCH('3961'!$A$1,'[1]Detail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0</v>
      </c>
      <c r="D28" s="126">
        <f>SUM(D12:D27)</f>
        <v>0</v>
      </c>
      <c r="E28" s="964">
        <f>SUM(E12:E27)</f>
        <v>0</v>
      </c>
      <c r="F28" s="964"/>
      <c r="G28" s="959"/>
      <c r="H28" s="959"/>
      <c r="I28" s="23">
        <f>SUM(I12:I27)</f>
        <v>0</v>
      </c>
      <c r="J28" s="127">
        <f>SUM(J12:J27)</f>
        <v>0</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0</v>
      </c>
      <c r="H33" s="959" t="s">
        <v>45</v>
      </c>
      <c r="I33" s="959"/>
      <c r="J33" s="32">
        <f>SUM(J32,J28)</f>
        <v>0</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0</v>
      </c>
      <c r="H36" s="223" t="s">
        <v>49</v>
      </c>
      <c r="I36" s="38">
        <v>6.6699999999999995E-2</v>
      </c>
      <c r="J36" s="131">
        <f>ROUND(G36*I36,2)</f>
        <v>0</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0</v>
      </c>
      <c r="H37" s="223" t="s">
        <v>49</v>
      </c>
      <c r="I37" s="38">
        <v>5.4000000000000003E-3</v>
      </c>
      <c r="J37" s="131">
        <f>ROUND(G37*I37,2)</f>
        <v>0</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0</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0</v>
      </c>
      <c r="D50" s="585">
        <f>SUM(D41:D49)</f>
        <v>0</v>
      </c>
      <c r="E50" s="954">
        <f>SUM(E41:E49)</f>
        <v>0</v>
      </c>
      <c r="F50" s="954"/>
      <c r="G50" s="910" t="s">
        <v>63</v>
      </c>
      <c r="H50" s="910"/>
      <c r="I50" s="910"/>
      <c r="J50" s="276">
        <f>SUM(J41:J49)</f>
        <v>0</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0</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0</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0</v>
      </c>
      <c r="U55" s="184" t="s">
        <v>66</v>
      </c>
      <c r="V55" s="185"/>
      <c r="W55" s="186" t="s">
        <v>71</v>
      </c>
      <c r="X55" s="917">
        <f>I56</f>
        <v>229051.25000000003</v>
      </c>
      <c r="Y55" s="917"/>
    </row>
    <row r="56" spans="1:25" ht="16.5" customHeight="1" x14ac:dyDescent="0.25">
      <c r="A56" s="897" t="s">
        <v>70</v>
      </c>
      <c r="B56" s="897"/>
      <c r="C56" s="237"/>
      <c r="D56" s="237"/>
      <c r="E56" s="48">
        <f>G33</f>
        <v>0</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0</v>
      </c>
      <c r="Y56" s="918"/>
    </row>
    <row r="57" spans="1:25" ht="18.75" customHeight="1" x14ac:dyDescent="0.25">
      <c r="A57" s="237"/>
      <c r="H57" s="53" t="s">
        <v>68</v>
      </c>
      <c r="I57" s="943">
        <f>IFERROR(ROUND(E56/I56,6),0)</f>
        <v>0</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0</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0</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0</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0</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0</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0</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0</v>
      </c>
      <c r="J68" s="138">
        <f>ROUND(G68*I68,2)</f>
        <v>0</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0</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60" t="s">
        <v>172</v>
      </c>
      <c r="S85" s="860"/>
      <c r="T85" s="860"/>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0</v>
      </c>
      <c r="J86" s="138">
        <f>ROUND(G86*I86,2)</f>
        <v>0</v>
      </c>
      <c r="K86" s="70"/>
      <c r="L86" s="71"/>
      <c r="M86" s="76"/>
      <c r="N86" s="76"/>
      <c r="O86" s="76"/>
      <c r="P86" s="76"/>
      <c r="Q86" s="70"/>
      <c r="R86" s="860" t="s">
        <v>173</v>
      </c>
      <c r="S86" s="860"/>
      <c r="T86" s="860"/>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0</v>
      </c>
      <c r="C93" s="109"/>
      <c r="D93" s="109"/>
      <c r="E93" s="937" t="s">
        <v>112</v>
      </c>
      <c r="F93" s="937"/>
      <c r="G93" s="937"/>
      <c r="H93" s="937"/>
      <c r="I93" s="937"/>
      <c r="J93" s="127">
        <f>IF(A1=75,0,I92+I91+I90)</f>
        <v>0</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0</v>
      </c>
      <c r="L107" s="576"/>
      <c r="R107" s="860" t="s">
        <v>125</v>
      </c>
      <c r="S107" s="860"/>
      <c r="T107" s="860"/>
      <c r="U107" s="860"/>
      <c r="V107" s="860"/>
      <c r="W107" s="860"/>
      <c r="X107" s="860"/>
      <c r="Y107" s="219">
        <f>SUM(Y106,Y105,Y97,Y96,Y93,Y86,Y85,Y84,Y70,Y69,Y67,Y33,Y71,Y50,Y87,Y83)</f>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0</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79"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463</v>
      </c>
      <c r="B2" s="102"/>
      <c r="C2" s="102"/>
      <c r="D2" s="102"/>
      <c r="E2" s="100"/>
      <c r="F2" s="100"/>
      <c r="G2" s="100"/>
      <c r="H2" s="100"/>
      <c r="I2" s="100"/>
      <c r="J2" s="100"/>
      <c r="K2" s="6"/>
      <c r="L2" s="6"/>
      <c r="M2" s="6"/>
      <c r="N2" s="6"/>
      <c r="O2" s="6"/>
      <c r="P2" s="6"/>
      <c r="Q2" s="6"/>
      <c r="R2" s="873" t="str">
        <f>Revenue_Estimate_Worksheet_for___________Charter_School</f>
        <v>Revenue Estimate Worksheet: Palm Beach Preparatory Charter Academy - 3971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Second'!$C$1:$C$65536,MATCH('3971'!$A$1,'[1]Detail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236.17</v>
      </c>
      <c r="D16" s="415">
        <v>284.58999999999997</v>
      </c>
      <c r="E16" s="965">
        <f t="shared" si="0"/>
        <v>520.76</v>
      </c>
      <c r="F16" s="965"/>
      <c r="G16" s="966">
        <v>0.97199999999999998</v>
      </c>
      <c r="H16" s="966"/>
      <c r="I16" s="578">
        <f t="shared" si="2"/>
        <v>506.17869999999999</v>
      </c>
      <c r="J16" s="579">
        <f t="shared" si="1"/>
        <v>2816037.78</v>
      </c>
      <c r="M16" s="2"/>
      <c r="R16" s="858" t="s">
        <v>24</v>
      </c>
      <c r="S16" s="858"/>
      <c r="T16" s="889">
        <f t="shared" si="3"/>
        <v>0</v>
      </c>
      <c r="U16" s="889"/>
      <c r="V16" s="894">
        <v>1</v>
      </c>
      <c r="W16" s="894"/>
      <c r="X16" s="156">
        <f t="shared" si="4"/>
        <v>0</v>
      </c>
      <c r="Y16" s="266">
        <f t="shared" si="6"/>
        <v>0</v>
      </c>
    </row>
    <row r="17" spans="1:25" x14ac:dyDescent="0.25">
      <c r="A17" s="859" t="s">
        <v>25</v>
      </c>
      <c r="B17" s="859"/>
      <c r="C17" s="415">
        <v>46.38</v>
      </c>
      <c r="D17" s="415">
        <v>59.06</v>
      </c>
      <c r="E17" s="965">
        <f t="shared" si="0"/>
        <v>105.44</v>
      </c>
      <c r="F17" s="965"/>
      <c r="G17" s="966">
        <v>0.97199999999999998</v>
      </c>
      <c r="H17" s="966"/>
      <c r="I17" s="578">
        <f t="shared" si="2"/>
        <v>102.4877</v>
      </c>
      <c r="J17" s="579">
        <f t="shared" si="1"/>
        <v>570172.62</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32.67</v>
      </c>
      <c r="D26" s="415">
        <v>20.84</v>
      </c>
      <c r="E26" s="965">
        <f t="shared" si="0"/>
        <v>53.510000000000005</v>
      </c>
      <c r="F26" s="965"/>
      <c r="G26" s="966">
        <v>1.165</v>
      </c>
      <c r="H26" s="966"/>
      <c r="I26" s="578">
        <f t="shared" si="2"/>
        <v>62.339199999999998</v>
      </c>
      <c r="J26" s="579">
        <f t="shared" si="1"/>
        <v>346813.37</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315.22000000000003</v>
      </c>
      <c r="D28" s="126">
        <f>SUM(D12:D27)</f>
        <v>364.48999999999995</v>
      </c>
      <c r="E28" s="964">
        <f>SUM(E12:E27)</f>
        <v>679.71</v>
      </c>
      <c r="F28" s="964"/>
      <c r="G28" s="959"/>
      <c r="H28" s="959"/>
      <c r="I28" s="23">
        <f>SUM(I12:I27)</f>
        <v>671.00559999999996</v>
      </c>
      <c r="J28" s="127">
        <f>SUM(J12:J27)</f>
        <v>3733023.77</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671.00559999999996</v>
      </c>
      <c r="H33" s="959" t="s">
        <v>45</v>
      </c>
      <c r="I33" s="959"/>
      <c r="J33" s="32">
        <f>SUM(J32,J28)</f>
        <v>3733023.77</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3482820.36</v>
      </c>
      <c r="H36" s="223" t="s">
        <v>49</v>
      </c>
      <c r="I36" s="38">
        <v>6.6699999999999995E-2</v>
      </c>
      <c r="J36" s="131">
        <f>ROUND(G36*I36,2)</f>
        <v>232304.12</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3482820.36</v>
      </c>
      <c r="H37" s="223" t="s">
        <v>49</v>
      </c>
      <c r="I37" s="38">
        <v>5.4000000000000003E-3</v>
      </c>
      <c r="J37" s="131">
        <f>ROUND(G37*I37,2)</f>
        <v>18807.23</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251111.35</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72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43.87</v>
      </c>
      <c r="D47" s="415">
        <v>55.87</v>
      </c>
      <c r="E47" s="952">
        <f t="shared" si="7"/>
        <v>99.74</v>
      </c>
      <c r="F47" s="952"/>
      <c r="G47" s="47" t="s">
        <v>61</v>
      </c>
      <c r="H47" s="223">
        <v>251</v>
      </c>
      <c r="I47" s="136">
        <f>INDEX('[1]111-112-113 ADDITIONAL FUND'!J$1:J$65536,MATCH($A$1,'[1]111-112-113 ADDITIONAL FUND'!A$1:A$65536))</f>
        <v>835</v>
      </c>
      <c r="J47" s="727">
        <f t="shared" si="8"/>
        <v>83282.899999999994</v>
      </c>
      <c r="M47" s="2"/>
      <c r="R47" s="901"/>
      <c r="S47" s="901"/>
      <c r="T47" s="903"/>
      <c r="U47" s="903"/>
      <c r="V47" s="182" t="s">
        <v>61</v>
      </c>
      <c r="W47" s="239">
        <v>251</v>
      </c>
      <c r="X47" s="134">
        <f t="shared" si="9"/>
        <v>835</v>
      </c>
      <c r="Y47" s="269">
        <f t="shared" si="10"/>
        <v>0</v>
      </c>
    </row>
    <row r="48" spans="1:25" ht="15.75" customHeight="1" x14ac:dyDescent="0.25">
      <c r="A48" s="958"/>
      <c r="B48" s="958"/>
      <c r="C48" s="415">
        <v>2.5099999999999998</v>
      </c>
      <c r="D48" s="415">
        <v>3.19</v>
      </c>
      <c r="E48" s="952">
        <f t="shared" si="7"/>
        <v>5.6999999999999993</v>
      </c>
      <c r="F48" s="952"/>
      <c r="G48" s="47" t="s">
        <v>61</v>
      </c>
      <c r="H48" s="223">
        <v>252</v>
      </c>
      <c r="I48" s="136">
        <f>INDEX('[1]111-112-113 ADDITIONAL FUND'!K$1:K$65536,MATCH($A$1,'[1]111-112-113 ADDITIONAL FUND'!A$1:A$65536))</f>
        <v>3168</v>
      </c>
      <c r="J48" s="727">
        <f t="shared" si="8"/>
        <v>18057.599999999999</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46.379999999999995</v>
      </c>
      <c r="D50" s="585">
        <f>SUM(D41:D49)</f>
        <v>59.059999999999995</v>
      </c>
      <c r="E50" s="954">
        <f>SUM(E41:E49)</f>
        <v>105.44</v>
      </c>
      <c r="F50" s="954"/>
      <c r="G50" s="910" t="s">
        <v>63</v>
      </c>
      <c r="H50" s="910"/>
      <c r="I50" s="910"/>
      <c r="J50" s="276">
        <f>SUM(J41:J49)</f>
        <v>101340.5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679.71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3.1570000000000001E-3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671.00559999999996</v>
      </c>
      <c r="U55" s="184" t="s">
        <v>66</v>
      </c>
      <c r="V55" s="185"/>
      <c r="W55" s="186" t="s">
        <v>71</v>
      </c>
      <c r="X55" s="917">
        <f>I56</f>
        <v>229051.25000000003</v>
      </c>
      <c r="Y55" s="917"/>
    </row>
    <row r="56" spans="1:25" ht="16.5" customHeight="1" x14ac:dyDescent="0.25">
      <c r="A56" s="897" t="s">
        <v>70</v>
      </c>
      <c r="B56" s="897"/>
      <c r="C56" s="237"/>
      <c r="D56" s="237"/>
      <c r="E56" s="48">
        <f>G33</f>
        <v>671.00559999999996</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2.9290000000000002E-3</v>
      </c>
      <c r="Y56" s="918"/>
    </row>
    <row r="57" spans="1:25" ht="18.75" customHeight="1" x14ac:dyDescent="0.25">
      <c r="A57" s="237"/>
      <c r="H57" s="53" t="s">
        <v>68</v>
      </c>
      <c r="I57" s="943">
        <f>IFERROR(ROUND(E56/I56,6),0)</f>
        <v>2.9290000000000002E-3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679.71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3.6510000000000002E-3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679.71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3.1610000000000002E-3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679.71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3.6570000000000001E-3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3.1610000000000002E-3</v>
      </c>
      <c r="J68" s="138">
        <f>ROUND(G68*I68,2)</f>
        <v>149486.04999999999</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3.1570000000000001E-3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3.6570000000000001E-3</v>
      </c>
      <c r="J71" s="138">
        <f>ROUND(G71*I71,2)</f>
        <v>70096.94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3.6510000000000002E-3</v>
      </c>
      <c r="J72" s="138">
        <f>ROUND(G72*I72,2)</f>
        <v>42157.69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1.5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1.3100000000000001E-4</v>
      </c>
      <c r="J84" s="62">
        <f>ROUND(G84*I84,2)</f>
        <v>8288.33</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2.9290000000000002E-3</v>
      </c>
      <c r="J85" s="138">
        <f>ROUND(G85*I85,2)</f>
        <v>787362.88</v>
      </c>
      <c r="K85" s="70"/>
      <c r="L85" s="70"/>
      <c r="M85" s="71"/>
      <c r="N85" s="70"/>
      <c r="O85" s="70"/>
      <c r="P85" s="70"/>
      <c r="Q85" s="70"/>
      <c r="R85" s="860" t="s">
        <v>172</v>
      </c>
      <c r="S85" s="860"/>
      <c r="T85" s="860"/>
      <c r="U85" s="253"/>
      <c r="V85" s="171">
        <f>G85</f>
        <v>268816278</v>
      </c>
      <c r="W85" s="239" t="s">
        <v>81</v>
      </c>
      <c r="X85" s="176">
        <f>X56</f>
        <v>2.9290000000000002E-3</v>
      </c>
      <c r="Y85" s="266">
        <f t="shared" ref="Y85:Y87" si="12">ROUND(V85*X85,2)</f>
        <v>787362.88</v>
      </c>
    </row>
    <row r="86" spans="1:26" ht="14.25" customHeight="1" x14ac:dyDescent="0.25">
      <c r="A86" s="896" t="s">
        <v>104</v>
      </c>
      <c r="B86" s="896"/>
      <c r="C86" s="896"/>
      <c r="D86" s="896"/>
      <c r="E86" s="896"/>
      <c r="F86" s="248" t="s">
        <v>103</v>
      </c>
      <c r="G86" s="139">
        <v>0</v>
      </c>
      <c r="H86" s="223" t="s">
        <v>81</v>
      </c>
      <c r="I86" s="41">
        <f>I57</f>
        <v>2.9290000000000002E-3</v>
      </c>
      <c r="J86" s="138">
        <f>ROUND(G86*I86,2)</f>
        <v>0</v>
      </c>
      <c r="K86" s="70"/>
      <c r="L86" s="71"/>
      <c r="M86" s="76"/>
      <c r="N86" s="76"/>
      <c r="O86" s="76"/>
      <c r="P86" s="76"/>
      <c r="Q86" s="70"/>
      <c r="R86" s="860" t="s">
        <v>173</v>
      </c>
      <c r="S86" s="860"/>
      <c r="T86" s="860"/>
      <c r="U86" s="253"/>
      <c r="V86" s="203">
        <f>G86</f>
        <v>0</v>
      </c>
      <c r="W86" s="239" t="s">
        <v>81</v>
      </c>
      <c r="X86" s="176">
        <f>X56</f>
        <v>2.9290000000000002E-3</v>
      </c>
      <c r="Y86" s="266">
        <f t="shared" si="12"/>
        <v>0</v>
      </c>
    </row>
    <row r="87" spans="1:26" ht="18" customHeight="1" x14ac:dyDescent="0.25">
      <c r="A87" s="896" t="s">
        <v>105</v>
      </c>
      <c r="B87" s="896"/>
      <c r="C87" s="896"/>
      <c r="D87" s="896"/>
      <c r="E87" s="896"/>
      <c r="F87" s="248" t="s">
        <v>84</v>
      </c>
      <c r="G87" s="139">
        <v>0</v>
      </c>
      <c r="H87" s="223" t="s">
        <v>81</v>
      </c>
      <c r="I87" s="41">
        <f>I54</f>
        <v>3.1570000000000001E-3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727">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671.00559999999996</v>
      </c>
      <c r="C92" s="109"/>
      <c r="D92" s="867">
        <f>I6</f>
        <v>1.0355000000000001</v>
      </c>
      <c r="E92" s="867"/>
      <c r="F92" s="867"/>
      <c r="G92" s="122">
        <f>'[1]Detail 2025-26 FEFP Second'!AD3</f>
        <v>917.3</v>
      </c>
      <c r="H92" s="47" t="s">
        <v>68</v>
      </c>
      <c r="I92" s="727">
        <f>ROUND(B92*D92*G92,2)</f>
        <v>637364.16</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671.00559999999996</v>
      </c>
      <c r="C93" s="109"/>
      <c r="D93" s="109"/>
      <c r="E93" s="937" t="s">
        <v>112</v>
      </c>
      <c r="F93" s="937"/>
      <c r="G93" s="937"/>
      <c r="H93" s="937"/>
      <c r="I93" s="937"/>
      <c r="J93" s="127">
        <f>IF(A1=75,0,I92+I91+I90)</f>
        <v>637364.16</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46</v>
      </c>
      <c r="D97" s="279">
        <v>125</v>
      </c>
      <c r="E97" s="989">
        <f>(C97+D97)/2</f>
        <v>85.5</v>
      </c>
      <c r="F97" s="940"/>
      <c r="G97" s="940"/>
      <c r="H97" s="224" t="s">
        <v>117</v>
      </c>
      <c r="I97" s="130">
        <f>IF(A1&gt;67,0,INDEX('[1]Transportation Per Student'!F$1:F$65536,MATCH(A1,'[1]Transportation Per Student'!B$1:B$65536)))</f>
        <v>617</v>
      </c>
      <c r="J97" s="138">
        <f>ROUND(I97*E97,2)</f>
        <v>52753.5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5581873.8200000003</v>
      </c>
      <c r="L107" s="576"/>
      <c r="R107" s="860" t="s">
        <v>125</v>
      </c>
      <c r="S107" s="860"/>
      <c r="T107" s="860"/>
      <c r="U107" s="860"/>
      <c r="V107" s="860"/>
      <c r="W107" s="860"/>
      <c r="X107" s="860"/>
      <c r="Y107" s="219">
        <f>SUM(Y106,Y105,Y97,Y96,Y93,Y86,Y85,Y84,Y70,Y69,Y67,Y33,Y71,Y50,Y87,Y83)</f>
        <v>787362.88</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5330762.4700000007</v>
      </c>
      <c r="R109" s="170" t="s">
        <v>180</v>
      </c>
      <c r="S109" s="170"/>
      <c r="T109" s="170"/>
      <c r="U109" s="170"/>
      <c r="V109" s="170"/>
      <c r="W109" s="170"/>
      <c r="X109" s="170"/>
      <c r="Y109" s="220">
        <f>Y107-Y38</f>
        <v>787362.88</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787362.88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c r="I114" s="710">
        <f>IF(I111=1,J111,J109)</f>
        <v>5330762.4700000007</v>
      </c>
      <c r="J114" s="711">
        <f>ROUND(IF(E28=0,0,IF(E28&gt;250,-(((250/E28)*I114)*IF(H114="H",0.02,0.05)),IF(H114="H",-0.02*I114,-0.05*I114))),2)</f>
        <v>-98033.77</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5483840.0500000007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Payments'!R102</f>
        <v>-2674684.1800000002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2809155.8700000006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468192.65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168504.35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88"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464</v>
      </c>
      <c r="B2" s="102"/>
      <c r="C2" s="102"/>
      <c r="D2" s="102"/>
      <c r="E2" s="100"/>
      <c r="F2" s="100"/>
      <c r="G2" s="100"/>
      <c r="H2" s="100"/>
      <c r="I2" s="100"/>
      <c r="J2" s="100"/>
      <c r="K2" s="6"/>
      <c r="L2" s="6"/>
      <c r="M2" s="6"/>
      <c r="N2" s="6"/>
      <c r="O2" s="6"/>
      <c r="P2" s="6"/>
      <c r="Q2" s="6"/>
      <c r="R2" s="873" t="str">
        <f>Revenue_Estimate_Worksheet_for___________Charter_School</f>
        <v>Revenue Estimate Worksheet: Renaissance Charter School at Wellington - 4001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Second'!$C$1:$C$65536,MATCH('4001'!$A$1,'[1]Detail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91.27</v>
      </c>
      <c r="D12" s="411">
        <v>91.32</v>
      </c>
      <c r="E12" s="979">
        <f t="shared" ref="E12:E27" si="0">IF($D$28=0,C12*2,C12+D12)</f>
        <v>182.58999999999997</v>
      </c>
      <c r="F12" s="979"/>
      <c r="G12" s="980">
        <v>1.1080000000000001</v>
      </c>
      <c r="H12" s="980"/>
      <c r="I12" s="578">
        <f>ROUND(E12*G12,4)</f>
        <v>202.30969999999999</v>
      </c>
      <c r="J12" s="579">
        <f t="shared" ref="J12:J27" si="1">ROUND(ROUND(ROUND(I12*$E$6,4)*($I$6),2)*(MAX($I$7,1)),2)</f>
        <v>1125515.08</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14.12</v>
      </c>
      <c r="D13" s="415">
        <v>15.5</v>
      </c>
      <c r="E13" s="965">
        <f t="shared" si="0"/>
        <v>29.619999999999997</v>
      </c>
      <c r="F13" s="965"/>
      <c r="G13" s="966">
        <v>1.1080000000000001</v>
      </c>
      <c r="H13" s="966"/>
      <c r="I13" s="578">
        <f t="shared" ref="I13:I27" si="2">ROUND(E13*G13,4)</f>
        <v>32.819000000000003</v>
      </c>
      <c r="J13" s="579">
        <f t="shared" si="1"/>
        <v>182582.84</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154.94999999999999</v>
      </c>
      <c r="D14" s="415">
        <v>151.25</v>
      </c>
      <c r="E14" s="965">
        <f t="shared" si="0"/>
        <v>306.2</v>
      </c>
      <c r="F14" s="965"/>
      <c r="G14" s="966">
        <v>1</v>
      </c>
      <c r="H14" s="966"/>
      <c r="I14" s="578">
        <f t="shared" si="2"/>
        <v>306.2</v>
      </c>
      <c r="J14" s="579">
        <f>ROUND(ROUND(ROUND(I14*$E$6,4)*($I$6),2)*(MAX($I$7,1)),2)</f>
        <v>1703490.82</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22.01</v>
      </c>
      <c r="D15" s="415">
        <v>22.54</v>
      </c>
      <c r="E15" s="965">
        <f t="shared" si="0"/>
        <v>44.55</v>
      </c>
      <c r="F15" s="965"/>
      <c r="G15" s="966">
        <v>1</v>
      </c>
      <c r="H15" s="966"/>
      <c r="I15" s="578">
        <f t="shared" si="2"/>
        <v>44.55</v>
      </c>
      <c r="J15" s="579">
        <f t="shared" si="1"/>
        <v>247846.23</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37.49</v>
      </c>
      <c r="D24" s="415">
        <v>37.43</v>
      </c>
      <c r="E24" s="965">
        <f t="shared" si="0"/>
        <v>74.92</v>
      </c>
      <c r="F24" s="965"/>
      <c r="G24" s="966">
        <v>1.165</v>
      </c>
      <c r="H24" s="966"/>
      <c r="I24" s="578">
        <f t="shared" si="2"/>
        <v>87.281800000000004</v>
      </c>
      <c r="J24" s="579">
        <f t="shared" si="1"/>
        <v>485577.22</v>
      </c>
      <c r="M24" s="2"/>
      <c r="R24" s="858" t="s">
        <v>32</v>
      </c>
      <c r="S24" s="858"/>
      <c r="T24" s="889">
        <f t="shared" si="3"/>
        <v>0</v>
      </c>
      <c r="U24" s="889"/>
      <c r="V24" s="894">
        <v>1</v>
      </c>
      <c r="W24" s="894"/>
      <c r="X24" s="156">
        <f t="shared" si="4"/>
        <v>0</v>
      </c>
      <c r="Y24" s="266">
        <f t="shared" si="6"/>
        <v>0</v>
      </c>
    </row>
    <row r="25" spans="1:25" x14ac:dyDescent="0.25">
      <c r="A25" s="859" t="s">
        <v>33</v>
      </c>
      <c r="B25" s="859"/>
      <c r="C25" s="415">
        <v>21.36</v>
      </c>
      <c r="D25" s="415">
        <v>21.33</v>
      </c>
      <c r="E25" s="965">
        <f t="shared" si="0"/>
        <v>42.69</v>
      </c>
      <c r="F25" s="965"/>
      <c r="G25" s="966">
        <v>1.165</v>
      </c>
      <c r="H25" s="966"/>
      <c r="I25" s="578">
        <f t="shared" si="2"/>
        <v>49.733899999999998</v>
      </c>
      <c r="J25" s="579">
        <f t="shared" si="1"/>
        <v>276685.96000000002</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341.2</v>
      </c>
      <c r="D28" s="126">
        <f>SUM(D12:D27)</f>
        <v>339.37</v>
      </c>
      <c r="E28" s="964">
        <f>SUM(E12:E27)</f>
        <v>680.56999999999994</v>
      </c>
      <c r="F28" s="964"/>
      <c r="G28" s="959"/>
      <c r="H28" s="959"/>
      <c r="I28" s="23">
        <f>SUM(I12:I27)</f>
        <v>722.89439999999991</v>
      </c>
      <c r="J28" s="127">
        <f>SUM(J12:J27)</f>
        <v>4021698.1500000004</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722.89439999999991</v>
      </c>
      <c r="H33" s="959" t="s">
        <v>45</v>
      </c>
      <c r="I33" s="959"/>
      <c r="J33" s="32">
        <f>SUM(J32,J28)</f>
        <v>4021698.1500000004</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4028326.8499999996</v>
      </c>
      <c r="H36" s="223" t="s">
        <v>49</v>
      </c>
      <c r="I36" s="38">
        <v>6.6699999999999995E-2</v>
      </c>
      <c r="J36" s="131">
        <f>ROUND(G36*I36,2)</f>
        <v>268689.40000000002</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4028326.8499999996</v>
      </c>
      <c r="H37" s="223" t="s">
        <v>49</v>
      </c>
      <c r="I37" s="38">
        <v>5.4000000000000003E-3</v>
      </c>
      <c r="J37" s="131">
        <f>ROUND(G37*I37,2)</f>
        <v>21752.959999999999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290442.36000000004</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9.58</v>
      </c>
      <c r="D41" s="415">
        <v>10.52</v>
      </c>
      <c r="E41" s="952">
        <f t="shared" ref="E41:E49" si="7">IF($D$50=0,C41*2,C41+D41)</f>
        <v>20.100000000000001</v>
      </c>
      <c r="F41" s="952"/>
      <c r="G41" s="223" t="s">
        <v>59</v>
      </c>
      <c r="H41" s="223">
        <v>251</v>
      </c>
      <c r="I41" s="136">
        <f>INDEX('[1]111-112-113 ADDITIONAL FUND'!D$1:D$65536,MATCH($A$1,'[1]111-112-113 ADDITIONAL FUND'!A$1:A$65536))</f>
        <v>1047</v>
      </c>
      <c r="J41" s="727">
        <f t="shared" ref="J41:J49" si="8">ROUND(E41*I41,2)</f>
        <v>21044.7</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2.52</v>
      </c>
      <c r="D42" s="415">
        <v>2.77</v>
      </c>
      <c r="E42" s="952">
        <f t="shared" si="7"/>
        <v>5.29</v>
      </c>
      <c r="F42" s="952"/>
      <c r="G42" s="223" t="s">
        <v>59</v>
      </c>
      <c r="H42" s="223">
        <v>252</v>
      </c>
      <c r="I42" s="136">
        <f>INDEX('[1]111-112-113 ADDITIONAL FUND'!E$1:E$65536,MATCH($A$1,'[1]111-112-113 ADDITIONAL FUND'!A$1:A$65536))</f>
        <v>3380</v>
      </c>
      <c r="J42" s="727">
        <f t="shared" si="8"/>
        <v>17880.2</v>
      </c>
      <c r="M42" s="2"/>
      <c r="R42" s="901"/>
      <c r="S42" s="901"/>
      <c r="T42" s="902"/>
      <c r="U42" s="902"/>
      <c r="V42" s="239" t="s">
        <v>59</v>
      </c>
      <c r="W42" s="239">
        <v>252</v>
      </c>
      <c r="X42" s="134">
        <f t="shared" si="9"/>
        <v>3380</v>
      </c>
      <c r="Y42" s="269">
        <f t="shared" ref="Y42:Y49" si="10">ROUND(T42*X42,2)</f>
        <v>0</v>
      </c>
    </row>
    <row r="43" spans="1:25" x14ac:dyDescent="0.25">
      <c r="A43" s="958"/>
      <c r="B43" s="958"/>
      <c r="C43" s="415">
        <v>2.02</v>
      </c>
      <c r="D43" s="415">
        <v>2.21</v>
      </c>
      <c r="E43" s="952">
        <f t="shared" si="7"/>
        <v>4.2300000000000004</v>
      </c>
      <c r="F43" s="952"/>
      <c r="G43" s="223" t="s">
        <v>59</v>
      </c>
      <c r="H43" s="223">
        <v>253</v>
      </c>
      <c r="I43" s="136">
        <f>INDEX('[1]111-112-113 ADDITIONAL FUND'!F$1:F$65536,MATCH($A$1,'[1]111-112-113 ADDITIONAL FUND'!A$1:A$65536))</f>
        <v>6896</v>
      </c>
      <c r="J43" s="727">
        <f t="shared" si="8"/>
        <v>29170.080000000002</v>
      </c>
      <c r="M43" s="2"/>
      <c r="R43" s="901"/>
      <c r="S43" s="901"/>
      <c r="T43" s="903"/>
      <c r="U43" s="903"/>
      <c r="V43" s="239" t="s">
        <v>59</v>
      </c>
      <c r="W43" s="239">
        <v>253</v>
      </c>
      <c r="X43" s="134">
        <f t="shared" si="9"/>
        <v>6896</v>
      </c>
      <c r="Y43" s="269">
        <f t="shared" si="10"/>
        <v>0</v>
      </c>
    </row>
    <row r="44" spans="1:25" x14ac:dyDescent="0.25">
      <c r="A44" s="958"/>
      <c r="B44" s="958"/>
      <c r="C44" s="415">
        <v>20.010000000000002</v>
      </c>
      <c r="D44" s="415">
        <v>20.49</v>
      </c>
      <c r="E44" s="952">
        <f t="shared" si="7"/>
        <v>40.5</v>
      </c>
      <c r="F44" s="952"/>
      <c r="G44" s="47" t="s">
        <v>60</v>
      </c>
      <c r="H44" s="223">
        <v>251</v>
      </c>
      <c r="I44" s="136">
        <f>INDEX('[1]111-112-113 ADDITIONAL FUND'!G$1:G$65536,MATCH($A$1,'[1]111-112-113 ADDITIONAL FUND'!A$1:A$65536))</f>
        <v>1173</v>
      </c>
      <c r="J44" s="727">
        <f t="shared" si="8"/>
        <v>47506.5</v>
      </c>
      <c r="L44" s="3"/>
      <c r="M44" s="2"/>
      <c r="Q44" s="4"/>
      <c r="R44" s="901"/>
      <c r="S44" s="901"/>
      <c r="T44" s="903"/>
      <c r="U44" s="903"/>
      <c r="V44" s="182" t="s">
        <v>60</v>
      </c>
      <c r="W44" s="239">
        <v>251</v>
      </c>
      <c r="X44" s="134">
        <f t="shared" si="9"/>
        <v>1173</v>
      </c>
      <c r="Y44" s="269">
        <f t="shared" si="10"/>
        <v>0</v>
      </c>
    </row>
    <row r="45" spans="1:25" x14ac:dyDescent="0.25">
      <c r="A45" s="958"/>
      <c r="B45" s="958"/>
      <c r="C45" s="415">
        <v>2</v>
      </c>
      <c r="D45" s="415">
        <v>2.0499999999999998</v>
      </c>
      <c r="E45" s="952">
        <f t="shared" si="7"/>
        <v>4.05</v>
      </c>
      <c r="F45" s="952"/>
      <c r="G45" s="47" t="s">
        <v>60</v>
      </c>
      <c r="H45" s="223">
        <v>252</v>
      </c>
      <c r="I45" s="136">
        <f>INDEX('[1]111-112-113 ADDITIONAL FUND'!H$1:H$65536,MATCH($A$1,'[1]111-112-113 ADDITIONAL FUND'!A$1:A$65536))</f>
        <v>3506</v>
      </c>
      <c r="J45" s="727">
        <f t="shared" si="8"/>
        <v>14199.3</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36.130000000000003</v>
      </c>
      <c r="D50" s="585">
        <f>SUM(D41:D49)</f>
        <v>38.039999999999992</v>
      </c>
      <c r="E50" s="954">
        <f>SUM(E41:E49)</f>
        <v>74.17</v>
      </c>
      <c r="F50" s="954"/>
      <c r="G50" s="910" t="s">
        <v>63</v>
      </c>
      <c r="H50" s="910"/>
      <c r="I50" s="910"/>
      <c r="J50" s="276">
        <f>SUM(J41:J49)</f>
        <v>129800.78000000001</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680.56999999999994</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3.1610000000000002E-3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t="e">
        <f>V33</f>
        <v>#REF!</v>
      </c>
      <c r="U55" s="184" t="s">
        <v>66</v>
      </c>
      <c r="V55" s="185"/>
      <c r="W55" s="186" t="s">
        <v>71</v>
      </c>
      <c r="X55" s="917">
        <f>I56</f>
        <v>229051.25000000003</v>
      </c>
      <c r="Y55" s="917"/>
    </row>
    <row r="56" spans="1:25" ht="16.5" customHeight="1" x14ac:dyDescent="0.25">
      <c r="A56" s="897" t="s">
        <v>70</v>
      </c>
      <c r="B56" s="897"/>
      <c r="C56" s="237"/>
      <c r="D56" s="237"/>
      <c r="E56" s="48">
        <f>G33</f>
        <v>722.89439999999991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t="e">
        <f>ROUND(T55/X55,6)</f>
        <v>#REF!</v>
      </c>
      <c r="Y56" s="918"/>
    </row>
    <row r="57" spans="1:25" ht="18.75" customHeight="1" x14ac:dyDescent="0.25">
      <c r="A57" s="237"/>
      <c r="H57" s="53" t="s">
        <v>68</v>
      </c>
      <c r="I57" s="943">
        <f>IFERROR(ROUND(E56/I56,6),0)</f>
        <v>3.156E-3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680.56999999999994</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3.656E-3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680.56999999999994</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3.1649999999999998E-3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680.56999999999994</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3.6619999999999999E-3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3.1649999999999998E-3</v>
      </c>
      <c r="J68" s="138">
        <f>ROUND(G68*I68,2)</f>
        <v>149675.21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3.1610000000000002E-3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3.6619999999999999E-3</v>
      </c>
      <c r="J71" s="138">
        <f>ROUND(G71*I71,2)</f>
        <v>70192.78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3.656E-3</v>
      </c>
      <c r="J72" s="138">
        <f>ROUND(G72*I72,2)</f>
        <v>42215.43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3.156E-3</v>
      </c>
      <c r="J85" s="138">
        <f>ROUND(G85*I85,2)</f>
        <v>848384.17</v>
      </c>
      <c r="K85" s="70"/>
      <c r="L85" s="70"/>
      <c r="M85" s="71"/>
      <c r="N85" s="70"/>
      <c r="O85" s="70"/>
      <c r="P85" s="70"/>
      <c r="Q85" s="70"/>
      <c r="R85" s="860" t="s">
        <v>172</v>
      </c>
      <c r="S85" s="860"/>
      <c r="T85" s="860"/>
      <c r="U85" s="253"/>
      <c r="V85" s="171">
        <f>G85</f>
        <v>268816278</v>
      </c>
      <c r="W85" s="239" t="s">
        <v>81</v>
      </c>
      <c r="X85" s="176" t="e">
        <f>X56</f>
        <v>#REF!</v>
      </c>
      <c r="Y85" s="266" t="e">
        <f t="shared" ref="Y85:Y87" si="12">ROUND(V85*X85,2)</f>
        <v>#REF!</v>
      </c>
    </row>
    <row r="86" spans="1:26" ht="14.25" customHeight="1" x14ac:dyDescent="0.25">
      <c r="A86" s="896" t="s">
        <v>104</v>
      </c>
      <c r="B86" s="896"/>
      <c r="C86" s="896"/>
      <c r="D86" s="896"/>
      <c r="E86" s="896"/>
      <c r="F86" s="248" t="s">
        <v>103</v>
      </c>
      <c r="G86" s="139">
        <v>0</v>
      </c>
      <c r="H86" s="223" t="s">
        <v>81</v>
      </c>
      <c r="I86" s="41">
        <f>I57</f>
        <v>3.156E-3</v>
      </c>
      <c r="J86" s="138">
        <f>ROUND(G86*I86,2)</f>
        <v>0</v>
      </c>
      <c r="K86" s="70"/>
      <c r="L86" s="71"/>
      <c r="M86" s="76"/>
      <c r="N86" s="76"/>
      <c r="O86" s="76"/>
      <c r="P86" s="76"/>
      <c r="Q86" s="70"/>
      <c r="R86" s="860" t="s">
        <v>173</v>
      </c>
      <c r="S86" s="860"/>
      <c r="T86" s="860"/>
      <c r="U86" s="253"/>
      <c r="V86" s="203">
        <f>G86</f>
        <v>0</v>
      </c>
      <c r="W86" s="239" t="s">
        <v>81</v>
      </c>
      <c r="X86" s="176" t="e">
        <f>X56</f>
        <v>#REF!</v>
      </c>
      <c r="Y86" s="266" t="e">
        <f t="shared" si="12"/>
        <v>#REF!</v>
      </c>
    </row>
    <row r="87" spans="1:26" ht="18" customHeight="1" x14ac:dyDescent="0.25">
      <c r="A87" s="896" t="s">
        <v>105</v>
      </c>
      <c r="B87" s="896"/>
      <c r="C87" s="896"/>
      <c r="D87" s="896"/>
      <c r="E87" s="896"/>
      <c r="F87" s="248" t="s">
        <v>84</v>
      </c>
      <c r="G87" s="139">
        <v>0</v>
      </c>
      <c r="H87" s="223" t="s">
        <v>81</v>
      </c>
      <c r="I87" s="41">
        <f>I54</f>
        <v>3.1610000000000002E-3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322.41049999999996</v>
      </c>
      <c r="C90" s="245"/>
      <c r="D90" s="867">
        <f>I6</f>
        <v>1.0355000000000001</v>
      </c>
      <c r="E90" s="867"/>
      <c r="F90" s="867"/>
      <c r="G90" s="122">
        <f>'[1]Detail 2025-26 FEFP Second'!AB3</f>
        <v>958.42</v>
      </c>
      <c r="H90" s="47" t="s">
        <v>68</v>
      </c>
      <c r="I90" s="727">
        <f>ROUND(B90*D90*G90,2)</f>
        <v>319974.34000000003</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400.48390000000001</v>
      </c>
      <c r="C91" s="245"/>
      <c r="D91" s="867">
        <f>I6</f>
        <v>1.0355000000000001</v>
      </c>
      <c r="E91" s="867"/>
      <c r="F91" s="867"/>
      <c r="G91" s="122">
        <f>'[1]Detail 2025-26 FEFP Second'!AC3</f>
        <v>915.09</v>
      </c>
      <c r="H91" s="47" t="s">
        <v>68</v>
      </c>
      <c r="I91" s="727">
        <f>ROUND(B91*D91*G91,2)</f>
        <v>379488.81</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722.89439999999991</v>
      </c>
      <c r="C93" s="109"/>
      <c r="D93" s="109"/>
      <c r="E93" s="937" t="s">
        <v>112</v>
      </c>
      <c r="F93" s="937"/>
      <c r="G93" s="937"/>
      <c r="H93" s="937"/>
      <c r="I93" s="937"/>
      <c r="J93" s="127">
        <f>IF(A1=75,0,I92+I91+I90)</f>
        <v>699463.15</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70</v>
      </c>
      <c r="D97" s="279">
        <v>102</v>
      </c>
      <c r="E97" s="989">
        <f>(C97+D97)/2</f>
        <v>86</v>
      </c>
      <c r="F97" s="940"/>
      <c r="G97" s="940"/>
      <c r="H97" s="224" t="s">
        <v>117</v>
      </c>
      <c r="I97" s="130">
        <f>IF(A1&gt;67,0,INDEX('[1]Transportation Per Student'!F$1:F$65536,MATCH(A1,'[1]Transportation Per Student'!B$1:B$65536)))</f>
        <v>617</v>
      </c>
      <c r="J97" s="138">
        <f>ROUND(I97*E97,2)</f>
        <v>53062</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6014491.6700000009</v>
      </c>
      <c r="L107" s="576"/>
      <c r="R107" s="860" t="s">
        <v>125</v>
      </c>
      <c r="S107" s="860"/>
      <c r="T107" s="860"/>
      <c r="U107" s="860"/>
      <c r="V107" s="860"/>
      <c r="W107" s="860"/>
      <c r="X107" s="860"/>
      <c r="Y107" s="219">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5724049.3100000005</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5724049.3100000005</v>
      </c>
      <c r="J114" s="296">
        <f>ROUND(IF(E28=0,0,IF(E28&gt;250,-(((250/E28)*I114)*IF(H114="H",0.02,0.05)),IF(H114="H",-0.02*I114,-0.05*I114))),2)</f>
        <v>-105133.37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5909358.3000000007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Payments'!R103</f>
        <v>-2951817.82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2957540.4800000009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492923.41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181069.1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465</v>
      </c>
      <c r="B2" s="102"/>
      <c r="C2" s="102"/>
      <c r="D2" s="102"/>
      <c r="E2" s="100"/>
      <c r="F2" s="100"/>
      <c r="G2" s="100"/>
      <c r="H2" s="100"/>
      <c r="I2" s="100"/>
      <c r="J2" s="100"/>
      <c r="K2" s="6"/>
      <c r="L2" s="6"/>
      <c r="M2" s="6"/>
      <c r="N2" s="6"/>
      <c r="O2" s="6"/>
      <c r="P2" s="6"/>
      <c r="Q2" s="6"/>
      <c r="R2" s="873" t="str">
        <f>Revenue_Estimate_Worksheet_for___________Charter_School</f>
        <v>Revenue Estimate Worksheet: Renaissance Charter School at Summit - 4002</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Second'!$C$1:$C$65536,MATCH('4002'!$A$1,'[1]Detail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119.61</v>
      </c>
      <c r="D12" s="411">
        <v>116.11</v>
      </c>
      <c r="E12" s="979">
        <f t="shared" ref="E12:E27" si="0">IF($D$28=0,C12*2,C12+D12)</f>
        <v>235.72</v>
      </c>
      <c r="F12" s="979"/>
      <c r="G12" s="980">
        <v>1.1080000000000001</v>
      </c>
      <c r="H12" s="980"/>
      <c r="I12" s="578">
        <f>ROUND(E12*G12,4)</f>
        <v>261.17779999999999</v>
      </c>
      <c r="J12" s="579">
        <f t="shared" ref="J12:J27" si="1">ROUND(ROUND(ROUND(I12*$E$6,4)*($I$6),2)*(MAX($I$7,1)),2)</f>
        <v>1453017.58</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15.5</v>
      </c>
      <c r="D13" s="415">
        <v>15.5</v>
      </c>
      <c r="E13" s="965">
        <f t="shared" si="0"/>
        <v>31</v>
      </c>
      <c r="F13" s="965"/>
      <c r="G13" s="966">
        <v>1.1080000000000001</v>
      </c>
      <c r="H13" s="966"/>
      <c r="I13" s="578">
        <f t="shared" ref="I13:I27" si="2">ROUND(E13*G13,4)</f>
        <v>34.347999999999999</v>
      </c>
      <c r="J13" s="579">
        <f t="shared" si="1"/>
        <v>191089.17</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189.53</v>
      </c>
      <c r="D14" s="415">
        <v>189.99</v>
      </c>
      <c r="E14" s="965">
        <f t="shared" si="0"/>
        <v>379.52</v>
      </c>
      <c r="F14" s="965"/>
      <c r="G14" s="966">
        <v>1</v>
      </c>
      <c r="H14" s="966"/>
      <c r="I14" s="578">
        <f t="shared" si="2"/>
        <v>379.52</v>
      </c>
      <c r="J14" s="579">
        <f>ROUND(ROUND(ROUND(I14*$E$6,4)*($I$6),2)*(MAX($I$7,1)),2)</f>
        <v>2111393.98</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26.49</v>
      </c>
      <c r="D15" s="415">
        <v>26.51</v>
      </c>
      <c r="E15" s="965">
        <f t="shared" si="0"/>
        <v>53</v>
      </c>
      <c r="F15" s="965"/>
      <c r="G15" s="966">
        <v>1</v>
      </c>
      <c r="H15" s="966"/>
      <c r="I15" s="578">
        <f t="shared" si="2"/>
        <v>53</v>
      </c>
      <c r="J15" s="579">
        <f t="shared" si="1"/>
        <v>294856.34999999998</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95.1</v>
      </c>
      <c r="D24" s="415">
        <v>92.8</v>
      </c>
      <c r="E24" s="965">
        <f t="shared" si="0"/>
        <v>187.89999999999998</v>
      </c>
      <c r="F24" s="965"/>
      <c r="G24" s="966">
        <v>1.165</v>
      </c>
      <c r="H24" s="966"/>
      <c r="I24" s="578">
        <f t="shared" si="2"/>
        <v>218.90350000000001</v>
      </c>
      <c r="J24" s="579">
        <f t="shared" si="1"/>
        <v>1217831.82</v>
      </c>
      <c r="M24" s="2"/>
      <c r="R24" s="858" t="s">
        <v>32</v>
      </c>
      <c r="S24" s="858"/>
      <c r="T24" s="889">
        <f t="shared" si="3"/>
        <v>0</v>
      </c>
      <c r="U24" s="889"/>
      <c r="V24" s="894">
        <v>1</v>
      </c>
      <c r="W24" s="894"/>
      <c r="X24" s="156">
        <f t="shared" si="4"/>
        <v>0</v>
      </c>
      <c r="Y24" s="266">
        <f t="shared" si="6"/>
        <v>0</v>
      </c>
    </row>
    <row r="25" spans="1:25" x14ac:dyDescent="0.25">
      <c r="A25" s="859" t="s">
        <v>33</v>
      </c>
      <c r="B25" s="859"/>
      <c r="C25" s="415">
        <v>46.05</v>
      </c>
      <c r="D25" s="415">
        <v>44.94</v>
      </c>
      <c r="E25" s="965">
        <f t="shared" si="0"/>
        <v>90.99</v>
      </c>
      <c r="F25" s="965"/>
      <c r="G25" s="966">
        <v>1.165</v>
      </c>
      <c r="H25" s="966"/>
      <c r="I25" s="578">
        <f t="shared" si="2"/>
        <v>106.0034</v>
      </c>
      <c r="J25" s="579">
        <f t="shared" si="1"/>
        <v>589731.61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492.28000000000003</v>
      </c>
      <c r="D28" s="126">
        <f>SUM(D12:D27)</f>
        <v>485.85</v>
      </c>
      <c r="E28" s="964">
        <f>SUM(E12:E27)</f>
        <v>978.13</v>
      </c>
      <c r="F28" s="964"/>
      <c r="G28" s="959"/>
      <c r="H28" s="959"/>
      <c r="I28" s="23">
        <f>SUM(I12:I27)</f>
        <v>1052.9527</v>
      </c>
      <c r="J28" s="127">
        <f>SUM(J12:J27)</f>
        <v>5857920.5100000007</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1052.9527</v>
      </c>
      <c r="H33" s="959" t="s">
        <v>45</v>
      </c>
      <c r="I33" s="959"/>
      <c r="J33" s="32">
        <f>SUM(J32,J28)</f>
        <v>5857920.5100000007</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5896605.1099999994</v>
      </c>
      <c r="H36" s="223" t="s">
        <v>49</v>
      </c>
      <c r="I36" s="38">
        <v>6.6699999999999995E-2</v>
      </c>
      <c r="J36" s="131">
        <f>ROUND(G36*I36,2)</f>
        <v>393303.56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5896605.1099999994</v>
      </c>
      <c r="H37" s="223" t="s">
        <v>49</v>
      </c>
      <c r="I37" s="38">
        <v>5.4000000000000003E-3</v>
      </c>
      <c r="J37" s="131">
        <f>ROUND(G37*I37,2)</f>
        <v>31841.67</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425145.23</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10.5</v>
      </c>
      <c r="D41" s="415">
        <v>10.5</v>
      </c>
      <c r="E41" s="952">
        <f t="shared" ref="E41:E49" si="7">IF($D$50=0,C41*2,C41+D41)</f>
        <v>21</v>
      </c>
      <c r="F41" s="952"/>
      <c r="G41" s="223" t="s">
        <v>59</v>
      </c>
      <c r="H41" s="223">
        <v>251</v>
      </c>
      <c r="I41" s="136">
        <f>INDEX('[1]111-112-113 ADDITIONAL FUND'!D$1:D$65536,MATCH($A$1,'[1]111-112-113 ADDITIONAL FUND'!A$1:A$65536))</f>
        <v>1047</v>
      </c>
      <c r="J41" s="727">
        <f t="shared" ref="J41:J49" si="8">ROUND(E41*I41,2)</f>
        <v>21987</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5</v>
      </c>
      <c r="D42" s="415">
        <v>5</v>
      </c>
      <c r="E42" s="952">
        <f t="shared" si="7"/>
        <v>10</v>
      </c>
      <c r="F42" s="952"/>
      <c r="G42" s="223" t="s">
        <v>59</v>
      </c>
      <c r="H42" s="223">
        <v>252</v>
      </c>
      <c r="I42" s="136">
        <f>INDEX('[1]111-112-113 ADDITIONAL FUND'!E$1:E$65536,MATCH($A$1,'[1]111-112-113 ADDITIONAL FUND'!A$1:A$65536))</f>
        <v>3380</v>
      </c>
      <c r="J42" s="727">
        <f t="shared" si="8"/>
        <v>33800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23.49</v>
      </c>
      <c r="D44" s="415">
        <v>23.51</v>
      </c>
      <c r="E44" s="952">
        <f t="shared" si="7"/>
        <v>47</v>
      </c>
      <c r="F44" s="952"/>
      <c r="G44" s="47" t="s">
        <v>60</v>
      </c>
      <c r="H44" s="223">
        <v>251</v>
      </c>
      <c r="I44" s="136">
        <f>INDEX('[1]111-112-113 ADDITIONAL FUND'!G$1:G$65536,MATCH($A$1,'[1]111-112-113 ADDITIONAL FUND'!A$1:A$65536))</f>
        <v>1173</v>
      </c>
      <c r="J44" s="727">
        <f t="shared" si="8"/>
        <v>55131</v>
      </c>
      <c r="L44" s="3"/>
      <c r="M44" s="2"/>
      <c r="Q44" s="4"/>
      <c r="R44" s="901"/>
      <c r="S44" s="901"/>
      <c r="T44" s="903"/>
      <c r="U44" s="903"/>
      <c r="V44" s="182" t="s">
        <v>60</v>
      </c>
      <c r="W44" s="239">
        <v>251</v>
      </c>
      <c r="X44" s="134">
        <f t="shared" si="9"/>
        <v>1173</v>
      </c>
      <c r="Y44" s="269">
        <f t="shared" si="10"/>
        <v>0</v>
      </c>
    </row>
    <row r="45" spans="1:25" x14ac:dyDescent="0.25">
      <c r="A45" s="958"/>
      <c r="B45" s="958"/>
      <c r="C45" s="415">
        <v>3</v>
      </c>
      <c r="D45" s="415">
        <v>3</v>
      </c>
      <c r="E45" s="952">
        <f t="shared" si="7"/>
        <v>6</v>
      </c>
      <c r="F45" s="952"/>
      <c r="G45" s="47" t="s">
        <v>60</v>
      </c>
      <c r="H45" s="223">
        <v>252</v>
      </c>
      <c r="I45" s="136">
        <f>INDEX('[1]111-112-113 ADDITIONAL FUND'!H$1:H$65536,MATCH($A$1,'[1]111-112-113 ADDITIONAL FUND'!A$1:A$65536))</f>
        <v>3506</v>
      </c>
      <c r="J45" s="727">
        <f t="shared" si="8"/>
        <v>21036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41.989999999999995</v>
      </c>
      <c r="D50" s="585">
        <f>SUM(D41:D49)</f>
        <v>42.010000000000005</v>
      </c>
      <c r="E50" s="954">
        <f>SUM(E41:E49)</f>
        <v>84</v>
      </c>
      <c r="F50" s="954"/>
      <c r="G50" s="910" t="s">
        <v>63</v>
      </c>
      <c r="H50" s="910"/>
      <c r="I50" s="910"/>
      <c r="J50" s="276">
        <f>SUM(J41:J49)</f>
        <v>131954</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978.13</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4.5430000000000002E-3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1052.9527</v>
      </c>
      <c r="U55" s="184" t="s">
        <v>66</v>
      </c>
      <c r="V55" s="185"/>
      <c r="W55" s="186" t="s">
        <v>71</v>
      </c>
      <c r="X55" s="917">
        <f>I56</f>
        <v>229051.25000000003</v>
      </c>
      <c r="Y55" s="917"/>
    </row>
    <row r="56" spans="1:25" ht="16.5" customHeight="1" x14ac:dyDescent="0.25">
      <c r="A56" s="897" t="s">
        <v>70</v>
      </c>
      <c r="B56" s="897"/>
      <c r="C56" s="237"/>
      <c r="D56" s="237"/>
      <c r="E56" s="48">
        <f>G33</f>
        <v>1052.9527</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4.5970000000000004E-3</v>
      </c>
      <c r="Y56" s="918"/>
    </row>
    <row r="57" spans="1:25" ht="18.75" customHeight="1" x14ac:dyDescent="0.25">
      <c r="A57" s="237"/>
      <c r="H57" s="53" t="s">
        <v>68</v>
      </c>
      <c r="I57" s="943">
        <f>IFERROR(ROUND(E56/I56,6),0)</f>
        <v>4.5970000000000004E-3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978.13</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5.254E-3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978.13</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4.5490000000000001E-3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978.13</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5.2630000000000003E-3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4.5490000000000001E-3</v>
      </c>
      <c r="J68" s="138">
        <f>ROUND(G68*I68,2)</f>
        <v>215125.61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733">
        <f>INDEX('[1]Detail 2025-26 FEFP Second'!L$1:L$65536,MATCH(A1,'[1]Detail 2025-26 FEFP Second'!A$1:A$65536))</f>
        <v>0</v>
      </c>
      <c r="H70" s="223" t="s">
        <v>81</v>
      </c>
      <c r="I70" s="41">
        <f>I54</f>
        <v>4.5430000000000002E-3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5.2630000000000003E-3</v>
      </c>
      <c r="J71" s="138">
        <f>ROUND(G71*I71,2)</f>
        <v>100880.56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5.254E-3</v>
      </c>
      <c r="J72" s="138">
        <f>ROUND(G72*I72,2)</f>
        <v>60667.35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4.5970000000000004E-3</v>
      </c>
      <c r="J85" s="138">
        <f>ROUND(G85*I85,2)</f>
        <v>1235748.43</v>
      </c>
      <c r="K85" s="70"/>
      <c r="L85" s="70"/>
      <c r="M85" s="71"/>
      <c r="N85" s="70"/>
      <c r="O85" s="70"/>
      <c r="P85" s="70"/>
      <c r="Q85" s="70"/>
      <c r="R85" s="860" t="s">
        <v>172</v>
      </c>
      <c r="S85" s="860"/>
      <c r="T85" s="860"/>
      <c r="U85" s="253"/>
      <c r="V85" s="171">
        <f>G85</f>
        <v>268816278</v>
      </c>
      <c r="W85" s="239" t="s">
        <v>81</v>
      </c>
      <c r="X85" s="176">
        <f>X56</f>
        <v>4.5970000000000004E-3</v>
      </c>
      <c r="Y85" s="266">
        <f t="shared" ref="Y85:Y87" si="12">ROUND(V85*X85,2)</f>
        <v>1235748.43</v>
      </c>
    </row>
    <row r="86" spans="1:26" ht="14.25" customHeight="1" x14ac:dyDescent="0.25">
      <c r="A86" s="896" t="s">
        <v>104</v>
      </c>
      <c r="B86" s="896"/>
      <c r="C86" s="896"/>
      <c r="D86" s="896"/>
      <c r="E86" s="896"/>
      <c r="F86" s="248" t="s">
        <v>103</v>
      </c>
      <c r="G86" s="139">
        <v>0</v>
      </c>
      <c r="H86" s="223" t="s">
        <v>81</v>
      </c>
      <c r="I86" s="41">
        <f>I57</f>
        <v>4.5970000000000004E-3</v>
      </c>
      <c r="J86" s="138">
        <f>ROUND(G86*I86,2)</f>
        <v>0</v>
      </c>
      <c r="K86" s="70"/>
      <c r="L86" s="71"/>
      <c r="M86" s="76"/>
      <c r="N86" s="76"/>
      <c r="O86" s="76"/>
      <c r="P86" s="76"/>
      <c r="Q86" s="70"/>
      <c r="R86" s="860" t="s">
        <v>173</v>
      </c>
      <c r="S86" s="860"/>
      <c r="T86" s="860"/>
      <c r="U86" s="253"/>
      <c r="V86" s="203">
        <f>G86</f>
        <v>0</v>
      </c>
      <c r="W86" s="239" t="s">
        <v>81</v>
      </c>
      <c r="X86" s="176">
        <f>X56</f>
        <v>4.5970000000000004E-3</v>
      </c>
      <c r="Y86" s="266">
        <f t="shared" si="12"/>
        <v>0</v>
      </c>
    </row>
    <row r="87" spans="1:26" ht="18" customHeight="1" x14ac:dyDescent="0.25">
      <c r="A87" s="896" t="s">
        <v>105</v>
      </c>
      <c r="B87" s="896"/>
      <c r="C87" s="896"/>
      <c r="D87" s="896"/>
      <c r="E87" s="896"/>
      <c r="F87" s="248" t="s">
        <v>84</v>
      </c>
      <c r="G87" s="139">
        <v>0</v>
      </c>
      <c r="H87" s="223" t="s">
        <v>81</v>
      </c>
      <c r="I87" s="41">
        <f>I54</f>
        <v>4.5430000000000002E-3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514.42930000000001</v>
      </c>
      <c r="C90" s="245"/>
      <c r="D90" s="867">
        <f>I6</f>
        <v>1.0355000000000001</v>
      </c>
      <c r="E90" s="867"/>
      <c r="F90" s="867"/>
      <c r="G90" s="122">
        <f>'[1]Detail 2025-26 FEFP Second'!AB3</f>
        <v>958.42</v>
      </c>
      <c r="H90" s="47" t="s">
        <v>68</v>
      </c>
      <c r="I90" s="141">
        <f>ROUND(B90*D90*G90,2)</f>
        <v>510542.23</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538.52340000000004</v>
      </c>
      <c r="C91" s="245"/>
      <c r="D91" s="867">
        <f>I6</f>
        <v>1.0355000000000001</v>
      </c>
      <c r="E91" s="867"/>
      <c r="F91" s="867"/>
      <c r="G91" s="122">
        <f>'[1]Detail 2025-26 FEFP Second'!AC3</f>
        <v>915.09</v>
      </c>
      <c r="H91" s="47" t="s">
        <v>68</v>
      </c>
      <c r="I91" s="140">
        <f>ROUND(B91*D91*G91,2)</f>
        <v>510291.69</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1052.9527</v>
      </c>
      <c r="C93" s="109"/>
      <c r="D93" s="109"/>
      <c r="E93" s="937" t="s">
        <v>112</v>
      </c>
      <c r="F93" s="937"/>
      <c r="G93" s="937"/>
      <c r="H93" s="937"/>
      <c r="I93" s="937"/>
      <c r="J93" s="127">
        <f>IF(A1=75,0,I92+I91+I90)</f>
        <v>1020833.9199999999</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8623130.3800000008</v>
      </c>
      <c r="L107" s="576"/>
      <c r="R107" s="860" t="s">
        <v>125</v>
      </c>
      <c r="S107" s="860"/>
      <c r="T107" s="860"/>
      <c r="U107" s="860"/>
      <c r="V107" s="860"/>
      <c r="W107" s="860"/>
      <c r="X107" s="860"/>
      <c r="Y107" s="219">
        <f>SUM(Y106,Y105,Y97,Y96,Y93,Y86,Y85,Y84,Y70,Y69,Y67,Y33,Y71,Y50,Y87,Y83)</f>
        <v>1235748.43</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8197985.1500000004</v>
      </c>
      <c r="R109" s="170" t="s">
        <v>180</v>
      </c>
      <c r="S109" s="170"/>
      <c r="T109" s="170"/>
      <c r="U109" s="170"/>
      <c r="V109" s="170"/>
      <c r="W109" s="170"/>
      <c r="X109" s="170"/>
      <c r="Y109" s="220">
        <f>Y107-Y38</f>
        <v>1235748.43</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1235748.43</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c r="I114" s="710">
        <f>IF(I111=1,J111,J109)</f>
        <v>8197985.1500000004</v>
      </c>
      <c r="J114" s="711">
        <f>ROUND(IF(E28=0,0,IF(E28&gt;250,-(((250/E28)*I114)*IF(H114="H",0.02,0.05)),IF(H114="H",-0.02*I114,-0.05*I114))),2)</f>
        <v>-104766.05</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8518364.3300000001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Payments'!R104</f>
        <v>-4264572.57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4253791.76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708965.29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305133.21000000002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87" workbookViewId="0">
      <selection activeCell="I56" sqref="I56:J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466</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Canyons Middle School - 4012</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Second'!$C$1:$C$65536,MATCH('4012'!$A$1,'[1]Detail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248.25</v>
      </c>
      <c r="D14" s="415">
        <v>247.39</v>
      </c>
      <c r="E14" s="965">
        <f t="shared" si="0"/>
        <v>495.64</v>
      </c>
      <c r="F14" s="965"/>
      <c r="G14" s="966">
        <v>1</v>
      </c>
      <c r="H14" s="966"/>
      <c r="I14" s="578">
        <f t="shared" si="2"/>
        <v>495.64</v>
      </c>
      <c r="J14" s="579">
        <f>ROUND(ROUND(ROUND(I14*$E$6,4)*($I$6),2)*(MAX($I$7,1)),2)</f>
        <v>2757407.54</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44.53</v>
      </c>
      <c r="D15" s="415">
        <v>44.31</v>
      </c>
      <c r="E15" s="965">
        <f t="shared" si="0"/>
        <v>88.84</v>
      </c>
      <c r="F15" s="965"/>
      <c r="G15" s="966">
        <v>1</v>
      </c>
      <c r="H15" s="966"/>
      <c r="I15" s="578">
        <f t="shared" si="2"/>
        <v>88.84</v>
      </c>
      <c r="J15" s="579">
        <f t="shared" si="1"/>
        <v>494246</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5.52</v>
      </c>
      <c r="D25" s="415">
        <v>5.22</v>
      </c>
      <c r="E25" s="965">
        <f t="shared" si="0"/>
        <v>10.739999999999998</v>
      </c>
      <c r="F25" s="965"/>
      <c r="G25" s="966">
        <v>1.165</v>
      </c>
      <c r="H25" s="966"/>
      <c r="I25" s="578">
        <f t="shared" si="2"/>
        <v>12.5121</v>
      </c>
      <c r="J25" s="579">
        <f t="shared" si="1"/>
        <v>69608.91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298.29999999999995</v>
      </c>
      <c r="D28" s="126">
        <f>SUM(D12:D27)</f>
        <v>296.92</v>
      </c>
      <c r="E28" s="964">
        <f>SUM(E12:E27)</f>
        <v>595.22</v>
      </c>
      <c r="F28" s="964"/>
      <c r="G28" s="959"/>
      <c r="H28" s="959"/>
      <c r="I28" s="23">
        <f>SUM(I12:I27)</f>
        <v>596.99210000000005</v>
      </c>
      <c r="J28" s="127">
        <f>SUM(J12:J27)</f>
        <v>3321262.45</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596.99210000000005</v>
      </c>
      <c r="H33" s="959" t="s">
        <v>45</v>
      </c>
      <c r="I33" s="959"/>
      <c r="J33" s="32">
        <f>SUM(J32,J28)</f>
        <v>3321262.45</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3326749</v>
      </c>
      <c r="H36" s="223" t="s">
        <v>49</v>
      </c>
      <c r="I36" s="38">
        <v>6.6699999999999995E-2</v>
      </c>
      <c r="J36" s="131">
        <f>ROUND(G36*I36,2)</f>
        <v>221894.16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3326749</v>
      </c>
      <c r="H37" s="223" t="s">
        <v>49</v>
      </c>
      <c r="I37" s="38">
        <v>5.4000000000000003E-3</v>
      </c>
      <c r="J37" s="131">
        <f>ROUND(G37*I37,2)</f>
        <v>17964.439999999999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239858.6</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41.52</v>
      </c>
      <c r="D44" s="415">
        <v>41.31</v>
      </c>
      <c r="E44" s="952">
        <f t="shared" si="7"/>
        <v>82.830000000000013</v>
      </c>
      <c r="F44" s="952"/>
      <c r="G44" s="47" t="s">
        <v>60</v>
      </c>
      <c r="H44" s="223">
        <v>251</v>
      </c>
      <c r="I44" s="136">
        <f>INDEX('[1]111-112-113 ADDITIONAL FUND'!G$1:G$65536,MATCH($A$1,'[1]111-112-113 ADDITIONAL FUND'!A$1:A$65536))</f>
        <v>1173</v>
      </c>
      <c r="J44" s="727">
        <f t="shared" si="8"/>
        <v>97159.59</v>
      </c>
      <c r="L44" s="3"/>
      <c r="M44" s="2"/>
      <c r="Q44" s="4"/>
      <c r="R44" s="901"/>
      <c r="S44" s="901"/>
      <c r="T44" s="903"/>
      <c r="U44" s="903"/>
      <c r="V44" s="182" t="s">
        <v>60</v>
      </c>
      <c r="W44" s="239">
        <v>251</v>
      </c>
      <c r="X44" s="134">
        <f t="shared" si="9"/>
        <v>1173</v>
      </c>
      <c r="Y44" s="269">
        <f t="shared" si="10"/>
        <v>0</v>
      </c>
    </row>
    <row r="45" spans="1:25" x14ac:dyDescent="0.25">
      <c r="A45" s="958"/>
      <c r="B45" s="958"/>
      <c r="C45" s="415">
        <v>3.01</v>
      </c>
      <c r="D45" s="415">
        <v>3</v>
      </c>
      <c r="E45" s="952">
        <f t="shared" si="7"/>
        <v>6.01</v>
      </c>
      <c r="F45" s="952"/>
      <c r="G45" s="47" t="s">
        <v>60</v>
      </c>
      <c r="H45" s="223">
        <v>252</v>
      </c>
      <c r="I45" s="136">
        <f>INDEX('[1]111-112-113 ADDITIONAL FUND'!H$1:H$65536,MATCH($A$1,'[1]111-112-113 ADDITIONAL FUND'!A$1:A$65536))</f>
        <v>3506</v>
      </c>
      <c r="J45" s="727">
        <f t="shared" si="8"/>
        <v>21071.06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44.53</v>
      </c>
      <c r="D50" s="585">
        <f>SUM(D41:D49)</f>
        <v>44.31</v>
      </c>
      <c r="E50" s="954">
        <f>SUM(E41:E49)</f>
        <v>88.840000000000018</v>
      </c>
      <c r="F50" s="954"/>
      <c r="G50" s="910" t="s">
        <v>63</v>
      </c>
      <c r="H50" s="910"/>
      <c r="I50" s="910"/>
      <c r="J50" s="276">
        <f>SUM(J41:J49)</f>
        <v>118230.65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595.22</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2.764E-3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596.99210000000005</v>
      </c>
      <c r="U55" s="184" t="s">
        <v>66</v>
      </c>
      <c r="V55" s="185"/>
      <c r="W55" s="186" t="s">
        <v>71</v>
      </c>
      <c r="X55" s="917">
        <f>I56</f>
        <v>229051.25000000003</v>
      </c>
      <c r="Y55" s="917"/>
    </row>
    <row r="56" spans="1:25" ht="16.5" customHeight="1" x14ac:dyDescent="0.25">
      <c r="A56" s="897" t="s">
        <v>70</v>
      </c>
      <c r="B56" s="897"/>
      <c r="C56" s="237"/>
      <c r="D56" s="237"/>
      <c r="E56" s="48">
        <f>G33</f>
        <v>596.99210000000005</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2.6059999999999998E-3</v>
      </c>
      <c r="Y56" s="918"/>
    </row>
    <row r="57" spans="1:25" ht="18.75" customHeight="1" x14ac:dyDescent="0.25">
      <c r="A57" s="237"/>
      <c r="H57" s="53" t="s">
        <v>68</v>
      </c>
      <c r="I57" s="943">
        <f>IFERROR(ROUND(E56/I56,6),0)</f>
        <v>2.6059999999999998E-3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595.22</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3.1970000000000002E-3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595.22</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2.7680000000000001E-3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595.22</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3.2030000000000001E-3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2.7680000000000001E-3</v>
      </c>
      <c r="J68" s="138">
        <f>ROUND(G68*I68,2)</f>
        <v>130900.79</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2.764E-3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3.2030000000000001E-3</v>
      </c>
      <c r="J71" s="138">
        <f>ROUND(G71*I71,2)</f>
        <v>61394.720000000001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3.1970000000000002E-3</v>
      </c>
      <c r="J72" s="138">
        <f>ROUND(G72*I72,2)</f>
        <v>36915.4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1.274E-3</v>
      </c>
      <c r="J84" s="728">
        <f>ROUND(G84*I84,2)</f>
        <v>80605.63</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2.6059999999999998E-3</v>
      </c>
      <c r="J85" s="728">
        <f>ROUND(G85*I85,2)</f>
        <v>700535.22</v>
      </c>
      <c r="K85" s="70"/>
      <c r="L85" s="70"/>
      <c r="M85" s="71"/>
      <c r="N85" s="70"/>
      <c r="O85" s="70"/>
      <c r="P85" s="70"/>
      <c r="Q85" s="70"/>
      <c r="R85" s="860" t="s">
        <v>172</v>
      </c>
      <c r="S85" s="860"/>
      <c r="T85" s="860"/>
      <c r="U85" s="253"/>
      <c r="V85" s="171">
        <f>G85</f>
        <v>268816278</v>
      </c>
      <c r="W85" s="239" t="s">
        <v>81</v>
      </c>
      <c r="X85" s="176">
        <f>X56</f>
        <v>2.6059999999999998E-3</v>
      </c>
      <c r="Y85" s="266">
        <f t="shared" ref="Y85:Y87" si="12">ROUND(V85*X85,2)</f>
        <v>700535.22</v>
      </c>
    </row>
    <row r="86" spans="1:26" ht="14.25" customHeight="1" x14ac:dyDescent="0.25">
      <c r="A86" s="896" t="s">
        <v>104</v>
      </c>
      <c r="B86" s="896"/>
      <c r="C86" s="896"/>
      <c r="D86" s="896"/>
      <c r="E86" s="896"/>
      <c r="F86" s="248" t="s">
        <v>103</v>
      </c>
      <c r="G86" s="139">
        <v>0</v>
      </c>
      <c r="H86" s="223" t="s">
        <v>81</v>
      </c>
      <c r="I86" s="41">
        <f>I57</f>
        <v>2.6059999999999998E-3</v>
      </c>
      <c r="J86" s="728">
        <f>ROUND(G86*I86,2)</f>
        <v>0</v>
      </c>
      <c r="K86" s="70"/>
      <c r="L86" s="71"/>
      <c r="M86" s="76"/>
      <c r="N86" s="76"/>
      <c r="O86" s="76"/>
      <c r="P86" s="76"/>
      <c r="Q86" s="70"/>
      <c r="R86" s="860" t="s">
        <v>173</v>
      </c>
      <c r="S86" s="860"/>
      <c r="T86" s="860"/>
      <c r="U86" s="253"/>
      <c r="V86" s="203">
        <f>G86</f>
        <v>0</v>
      </c>
      <c r="W86" s="239" t="s">
        <v>81</v>
      </c>
      <c r="X86" s="176">
        <f>X56</f>
        <v>2.6059999999999998E-3</v>
      </c>
      <c r="Y86" s="266">
        <f t="shared" si="12"/>
        <v>0</v>
      </c>
    </row>
    <row r="87" spans="1:26" ht="18" customHeight="1" x14ac:dyDescent="0.25">
      <c r="A87" s="896" t="s">
        <v>105</v>
      </c>
      <c r="B87" s="896"/>
      <c r="C87" s="896"/>
      <c r="D87" s="896"/>
      <c r="E87" s="896"/>
      <c r="F87" s="248" t="s">
        <v>84</v>
      </c>
      <c r="G87" s="139">
        <v>0</v>
      </c>
      <c r="H87" s="223" t="s">
        <v>81</v>
      </c>
      <c r="I87" s="41">
        <f>I54</f>
        <v>2.764E-3</v>
      </c>
      <c r="J87" s="72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596.99210000000005</v>
      </c>
      <c r="C91" s="245"/>
      <c r="D91" s="867">
        <f>I6</f>
        <v>1.0355000000000001</v>
      </c>
      <c r="E91" s="867"/>
      <c r="F91" s="867"/>
      <c r="G91" s="122">
        <f>'[1]Detail 2025-26 FEFP Second'!AC3</f>
        <v>915.09</v>
      </c>
      <c r="H91" s="47" t="s">
        <v>68</v>
      </c>
      <c r="I91" s="727">
        <f>ROUND(B91*D91*G91,2)</f>
        <v>565695.19999999995</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596.99210000000005</v>
      </c>
      <c r="C93" s="109"/>
      <c r="D93" s="109"/>
      <c r="E93" s="937" t="s">
        <v>112</v>
      </c>
      <c r="F93" s="937"/>
      <c r="G93" s="937"/>
      <c r="H93" s="937"/>
      <c r="I93" s="937"/>
      <c r="J93" s="127">
        <f>IF(A1=75,0,I92+I91+I90)</f>
        <v>565695.19999999995</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v>
      </c>
      <c r="D97" s="279">
        <v>1</v>
      </c>
      <c r="E97" s="989">
        <f>(C97+D97)/2</f>
        <v>1.5</v>
      </c>
      <c r="F97" s="940"/>
      <c r="G97" s="940"/>
      <c r="H97" s="224" t="s">
        <v>117</v>
      </c>
      <c r="I97" s="130">
        <f>IF(A1&gt;67,0,INDEX('[1]Transportation Per Student'!F$1:F$65536,MATCH(A1,'[1]Transportation Per Student'!B$1:B$65536)))</f>
        <v>617</v>
      </c>
      <c r="J97" s="138">
        <f>ROUND(I97*E97,2)</f>
        <v>925.5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5016465.5600000005</v>
      </c>
      <c r="L107" s="576"/>
      <c r="R107" s="860" t="s">
        <v>125</v>
      </c>
      <c r="S107" s="860"/>
      <c r="T107" s="860"/>
      <c r="U107" s="860"/>
      <c r="V107" s="860"/>
      <c r="W107" s="860"/>
      <c r="X107" s="860"/>
      <c r="Y107" s="219">
        <f>SUM(Y106,Y105,Y97,Y96,Y93,Y86,Y85,Y84,Y70,Y69,Y67,Y33,Y71,Y50,Y87,Y83)</f>
        <v>700535.22</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4776606.9600000009</v>
      </c>
      <c r="R109" s="170" t="s">
        <v>180</v>
      </c>
      <c r="S109" s="170"/>
      <c r="T109" s="170"/>
      <c r="U109" s="170"/>
      <c r="V109" s="170"/>
      <c r="W109" s="170"/>
      <c r="X109" s="170"/>
      <c r="Y109" s="220">
        <f>Y107-Y38</f>
        <v>700535.22</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700535.22</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t="s">
        <v>436</v>
      </c>
      <c r="I114" s="710">
        <f>IF(I111=1,J111,J109)</f>
        <v>4776606.9600000009</v>
      </c>
      <c r="J114" s="711">
        <f>ROUND(IF(E28=0,0,IF(E28&gt;250,-(((250/E28)*I114)*IF(H114="H",0.02,0.05)),IF(H114="H",-0.02*I114,-0.05*I114))),2)</f>
        <v>-40124.720000000001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4976340.8400000008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Payments'!R105</f>
        <v>-2477523.5299999998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2498817.310000001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416469.55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55407.42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82"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467</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Canyons High School - 4013</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Second'!$C$1:$C$65536,MATCH('4013'!$A$1,'[1]Detail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442.79</v>
      </c>
      <c r="D16" s="415">
        <v>439.64</v>
      </c>
      <c r="E16" s="965">
        <f t="shared" si="0"/>
        <v>882.43000000000006</v>
      </c>
      <c r="F16" s="965"/>
      <c r="G16" s="966">
        <v>0.97199999999999998</v>
      </c>
      <c r="H16" s="966"/>
      <c r="I16" s="578">
        <f t="shared" si="2"/>
        <v>857.72199999999998</v>
      </c>
      <c r="J16" s="579">
        <f t="shared" si="1"/>
        <v>4771788.22</v>
      </c>
      <c r="M16" s="2"/>
      <c r="R16" s="858" t="s">
        <v>24</v>
      </c>
      <c r="S16" s="858"/>
      <c r="T16" s="889">
        <f t="shared" si="3"/>
        <v>0</v>
      </c>
      <c r="U16" s="889"/>
      <c r="V16" s="894">
        <v>1</v>
      </c>
      <c r="W16" s="894"/>
      <c r="X16" s="156">
        <f t="shared" si="4"/>
        <v>0</v>
      </c>
      <c r="Y16" s="266">
        <f t="shared" si="6"/>
        <v>0</v>
      </c>
    </row>
    <row r="17" spans="1:25" x14ac:dyDescent="0.25">
      <c r="A17" s="859" t="s">
        <v>25</v>
      </c>
      <c r="B17" s="859"/>
      <c r="C17" s="415">
        <v>39.83</v>
      </c>
      <c r="D17" s="415">
        <v>37.549999999999997</v>
      </c>
      <c r="E17" s="965">
        <f t="shared" si="0"/>
        <v>77.38</v>
      </c>
      <c r="F17" s="965"/>
      <c r="G17" s="966">
        <v>0.97199999999999998</v>
      </c>
      <c r="H17" s="966"/>
      <c r="I17" s="578">
        <f t="shared" si="2"/>
        <v>75.213399999999993</v>
      </c>
      <c r="J17" s="579">
        <f t="shared" si="1"/>
        <v>418436.76</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6.2</v>
      </c>
      <c r="D26" s="415">
        <v>4.6399999999999997</v>
      </c>
      <c r="E26" s="965">
        <f t="shared" si="0"/>
        <v>10.84</v>
      </c>
      <c r="F26" s="965"/>
      <c r="G26" s="966">
        <v>1.165</v>
      </c>
      <c r="H26" s="966"/>
      <c r="I26" s="578">
        <f t="shared" si="2"/>
        <v>12.6286</v>
      </c>
      <c r="J26" s="579">
        <f t="shared" si="1"/>
        <v>70257.039999999994</v>
      </c>
      <c r="M26" s="2"/>
      <c r="R26" s="858" t="s">
        <v>34</v>
      </c>
      <c r="S26" s="858"/>
      <c r="T26" s="889">
        <f t="shared" si="3"/>
        <v>0</v>
      </c>
      <c r="U26" s="889"/>
      <c r="V26" s="894">
        <v>1</v>
      </c>
      <c r="W26" s="894"/>
      <c r="X26" s="156">
        <f t="shared" si="4"/>
        <v>0</v>
      </c>
      <c r="Y26" s="266">
        <f t="shared" si="6"/>
        <v>0</v>
      </c>
    </row>
    <row r="27" spans="1:25" x14ac:dyDescent="0.25">
      <c r="A27" s="864" t="s">
        <v>35</v>
      </c>
      <c r="B27" s="864"/>
      <c r="C27" s="416">
        <v>20.350000000000001</v>
      </c>
      <c r="D27" s="416">
        <v>20.97</v>
      </c>
      <c r="E27" s="961">
        <f t="shared" si="0"/>
        <v>41.32</v>
      </c>
      <c r="F27" s="961"/>
      <c r="G27" s="962">
        <v>1.081</v>
      </c>
      <c r="H27" s="962"/>
      <c r="I27" s="22">
        <f t="shared" si="2"/>
        <v>44.666899999999998</v>
      </c>
      <c r="J27" s="127">
        <f t="shared" si="1"/>
        <v>248496.58</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509.17</v>
      </c>
      <c r="D28" s="126">
        <f>SUM(D12:D27)</f>
        <v>502.79999999999995</v>
      </c>
      <c r="E28" s="990">
        <f>SUM(E12:E27)</f>
        <v>1011.9700000000001</v>
      </c>
      <c r="F28" s="990"/>
      <c r="G28" s="959"/>
      <c r="H28" s="959"/>
      <c r="I28" s="23">
        <f>SUM(I12:I27)</f>
        <v>990.23090000000002</v>
      </c>
      <c r="J28" s="127">
        <f>SUM(J12:J27)</f>
        <v>5508978.5999999996</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990.23090000000002</v>
      </c>
      <c r="H33" s="959" t="s">
        <v>45</v>
      </c>
      <c r="I33" s="959"/>
      <c r="J33" s="32">
        <f>SUM(J32,J28)</f>
        <v>5508978.5999999996</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5560972.3399999999</v>
      </c>
      <c r="H36" s="223" t="s">
        <v>49</v>
      </c>
      <c r="I36" s="38">
        <v>6.6699999999999995E-2</v>
      </c>
      <c r="J36" s="131">
        <f>ROUND(G36*I36,2)</f>
        <v>370916.86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5560972.3399999999</v>
      </c>
      <c r="H37" s="223" t="s">
        <v>49</v>
      </c>
      <c r="I37" s="38">
        <v>5.4000000000000003E-3</v>
      </c>
      <c r="J37" s="131">
        <f>ROUND(G37*I37,2)</f>
        <v>30029.25</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400946.11</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72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36.82</v>
      </c>
      <c r="D47" s="415">
        <v>34.72</v>
      </c>
      <c r="E47" s="952">
        <f t="shared" si="7"/>
        <v>71.539999999999992</v>
      </c>
      <c r="F47" s="952"/>
      <c r="G47" s="47" t="s">
        <v>61</v>
      </c>
      <c r="H47" s="223">
        <v>251</v>
      </c>
      <c r="I47" s="136">
        <f>INDEX('[1]111-112-113 ADDITIONAL FUND'!J$1:J$65536,MATCH($A$1,'[1]111-112-113 ADDITIONAL FUND'!A$1:A$65536))</f>
        <v>835</v>
      </c>
      <c r="J47" s="727">
        <f t="shared" si="8"/>
        <v>59735.9</v>
      </c>
      <c r="M47" s="2"/>
      <c r="R47" s="901"/>
      <c r="S47" s="901"/>
      <c r="T47" s="903"/>
      <c r="U47" s="903"/>
      <c r="V47" s="182" t="s">
        <v>61</v>
      </c>
      <c r="W47" s="239">
        <v>251</v>
      </c>
      <c r="X47" s="134">
        <f t="shared" si="9"/>
        <v>835</v>
      </c>
      <c r="Y47" s="269">
        <f t="shared" si="10"/>
        <v>0</v>
      </c>
    </row>
    <row r="48" spans="1:25" ht="15.75" customHeight="1" x14ac:dyDescent="0.25">
      <c r="A48" s="958"/>
      <c r="B48" s="958"/>
      <c r="C48" s="415">
        <v>3.01</v>
      </c>
      <c r="D48" s="415">
        <v>2.83</v>
      </c>
      <c r="E48" s="952">
        <f t="shared" si="7"/>
        <v>5.84</v>
      </c>
      <c r="F48" s="952"/>
      <c r="G48" s="47" t="s">
        <v>61</v>
      </c>
      <c r="H48" s="223">
        <v>252</v>
      </c>
      <c r="I48" s="136">
        <f>INDEX('[1]111-112-113 ADDITIONAL FUND'!K$1:K$65536,MATCH($A$1,'[1]111-112-113 ADDITIONAL FUND'!A$1:A$65536))</f>
        <v>3168</v>
      </c>
      <c r="J48" s="727">
        <f t="shared" si="8"/>
        <v>18501.12</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39.83</v>
      </c>
      <c r="D50" s="585">
        <f>SUM(D41:D49)</f>
        <v>37.549999999999997</v>
      </c>
      <c r="E50" s="954">
        <f>SUM(E41:E49)</f>
        <v>77.38</v>
      </c>
      <c r="F50" s="954"/>
      <c r="G50" s="910" t="s">
        <v>63</v>
      </c>
      <c r="H50" s="910"/>
      <c r="I50" s="910"/>
      <c r="J50" s="276">
        <f>SUM(J41:J49)</f>
        <v>78237.02</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1011.9700000000001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4.7000000000000002E-3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990.23090000000002</v>
      </c>
      <c r="U55" s="184" t="s">
        <v>66</v>
      </c>
      <c r="V55" s="185"/>
      <c r="W55" s="186" t="s">
        <v>71</v>
      </c>
      <c r="X55" s="917">
        <f>I56</f>
        <v>229051.25000000003</v>
      </c>
      <c r="Y55" s="917"/>
    </row>
    <row r="56" spans="1:25" ht="16.5" customHeight="1" x14ac:dyDescent="0.25">
      <c r="A56" s="897" t="s">
        <v>70</v>
      </c>
      <c r="B56" s="897"/>
      <c r="C56" s="237"/>
      <c r="D56" s="237"/>
      <c r="E56" s="48">
        <f>G33</f>
        <v>990.23090000000002</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4.3229999999999996E-3</v>
      </c>
      <c r="Y56" s="918"/>
    </row>
    <row r="57" spans="1:25" ht="18.75" customHeight="1" x14ac:dyDescent="0.25">
      <c r="A57" s="237"/>
      <c r="H57" s="53" t="s">
        <v>68</v>
      </c>
      <c r="I57" s="943">
        <f>IFERROR(ROUND(E56/I56,6),0)</f>
        <v>4.3229999999999996E-3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1011.9700000000001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5.4359999999999999E-3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1011.9700000000001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4.7060000000000001E-3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1011.9700000000001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5.4450000000000002E-3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4.7060000000000001E-3</v>
      </c>
      <c r="J68" s="138">
        <f>ROUND(G68*I68,2)</f>
        <v>222550.26</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4.7000000000000002E-3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5.4450000000000002E-3</v>
      </c>
      <c r="J71" s="138">
        <f>ROUND(G71*I71,2)</f>
        <v>104369.11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5.4359999999999999E-3</v>
      </c>
      <c r="J72" s="138">
        <f>ROUND(G72*I72,2)</f>
        <v>62768.89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v>32.159999999999997</v>
      </c>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v>135.04</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19.12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214.42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1.8707999999999999E-2</v>
      </c>
      <c r="J84" s="62">
        <f>ROUND(G84*I84,2)</f>
        <v>1183650.05</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4.3229999999999996E-3</v>
      </c>
      <c r="J85" s="138">
        <f>ROUND(G85*I85,2)</f>
        <v>1162092.77</v>
      </c>
      <c r="K85" s="70"/>
      <c r="L85" s="70"/>
      <c r="M85" s="71"/>
      <c r="N85" s="70"/>
      <c r="O85" s="70"/>
      <c r="P85" s="70"/>
      <c r="Q85" s="70"/>
      <c r="R85" s="860" t="s">
        <v>172</v>
      </c>
      <c r="S85" s="860"/>
      <c r="T85" s="860"/>
      <c r="U85" s="253"/>
      <c r="V85" s="171">
        <f>G85</f>
        <v>268816278</v>
      </c>
      <c r="W85" s="239" t="s">
        <v>81</v>
      </c>
      <c r="X85" s="176">
        <f>X56</f>
        <v>4.3229999999999996E-3</v>
      </c>
      <c r="Y85" s="266">
        <f t="shared" ref="Y85:Y87" si="12">ROUND(V85*X85,2)</f>
        <v>1162092.77</v>
      </c>
    </row>
    <row r="86" spans="1:26" ht="14.25" customHeight="1" x14ac:dyDescent="0.25">
      <c r="A86" s="896" t="s">
        <v>104</v>
      </c>
      <c r="B86" s="896"/>
      <c r="C86" s="896"/>
      <c r="D86" s="896"/>
      <c r="E86" s="896"/>
      <c r="F86" s="248" t="s">
        <v>103</v>
      </c>
      <c r="G86" s="139">
        <v>0</v>
      </c>
      <c r="H86" s="223" t="s">
        <v>81</v>
      </c>
      <c r="I86" s="41">
        <f>I57</f>
        <v>4.3229999999999996E-3</v>
      </c>
      <c r="J86" s="138">
        <f>ROUND(G86*I86,2)</f>
        <v>0</v>
      </c>
      <c r="K86" s="70"/>
      <c r="L86" s="71"/>
      <c r="M86" s="76"/>
      <c r="N86" s="76"/>
      <c r="O86" s="76"/>
      <c r="P86" s="76"/>
      <c r="Q86" s="70"/>
      <c r="R86" s="860" t="s">
        <v>173</v>
      </c>
      <c r="S86" s="860"/>
      <c r="T86" s="860"/>
      <c r="U86" s="253"/>
      <c r="V86" s="203">
        <f>G86</f>
        <v>0</v>
      </c>
      <c r="W86" s="239" t="s">
        <v>81</v>
      </c>
      <c r="X86" s="176">
        <f>X56</f>
        <v>4.3229999999999996E-3</v>
      </c>
      <c r="Y86" s="266">
        <f t="shared" si="12"/>
        <v>0</v>
      </c>
    </row>
    <row r="87" spans="1:26" ht="18" customHeight="1" x14ac:dyDescent="0.25">
      <c r="A87" s="896" t="s">
        <v>105</v>
      </c>
      <c r="B87" s="896"/>
      <c r="C87" s="896"/>
      <c r="D87" s="896"/>
      <c r="E87" s="896"/>
      <c r="F87" s="248" t="s">
        <v>84</v>
      </c>
      <c r="G87" s="139">
        <v>0</v>
      </c>
      <c r="H87" s="223" t="s">
        <v>81</v>
      </c>
      <c r="I87" s="41">
        <f>I54</f>
        <v>4.7000000000000002E-3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727">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990.23090000000002</v>
      </c>
      <c r="C92" s="109"/>
      <c r="D92" s="867">
        <f>I6</f>
        <v>1.0355000000000001</v>
      </c>
      <c r="E92" s="867"/>
      <c r="F92" s="867"/>
      <c r="G92" s="122">
        <f>'[1]Detail 2025-26 FEFP Second'!AD3</f>
        <v>917.3</v>
      </c>
      <c r="H92" s="47" t="s">
        <v>68</v>
      </c>
      <c r="I92" s="727">
        <f>ROUND(B92*D92*G92,2)</f>
        <v>940584.83</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990.23090000000002</v>
      </c>
      <c r="C93" s="109"/>
      <c r="D93" s="109"/>
      <c r="E93" s="937" t="s">
        <v>112</v>
      </c>
      <c r="F93" s="937"/>
      <c r="G93" s="937"/>
      <c r="H93" s="937"/>
      <c r="I93" s="937"/>
      <c r="J93" s="127">
        <f>IF(A1=75,0,I92+I91+I90)</f>
        <v>940584.83</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1</v>
      </c>
      <c r="E97" s="989">
        <f>(C97+D97)/2</f>
        <v>0.5</v>
      </c>
      <c r="F97" s="940"/>
      <c r="G97" s="940"/>
      <c r="H97" s="224" t="s">
        <v>117</v>
      </c>
      <c r="I97" s="130">
        <f>IF(A1&gt;67,0,INDEX('[1]Transportation Per Student'!F$1:F$65536,MATCH(A1,'[1]Transportation Per Student'!B$1:B$65536)))</f>
        <v>617</v>
      </c>
      <c r="J97" s="138">
        <f>ROUND(I97*E97,2)</f>
        <v>308.5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9263540.0299999993</v>
      </c>
      <c r="L107" s="576"/>
      <c r="R107" s="860" t="s">
        <v>125</v>
      </c>
      <c r="S107" s="860"/>
      <c r="T107" s="860"/>
      <c r="U107" s="860"/>
      <c r="V107" s="860"/>
      <c r="W107" s="860"/>
      <c r="X107" s="860"/>
      <c r="Y107" s="219">
        <f>SUM(Y106,Y105,Y97,Y96,Y93,Y86,Y85,Y84,Y70,Y69,Y67,Y33,Y71,Y50,Y87,Y83)</f>
        <v>1162092.77</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8862593.9199999999</v>
      </c>
      <c r="R109" s="170" t="s">
        <v>180</v>
      </c>
      <c r="S109" s="170"/>
      <c r="T109" s="170"/>
      <c r="U109" s="170"/>
      <c r="V109" s="170"/>
      <c r="W109" s="170"/>
      <c r="X109" s="170"/>
      <c r="Y109" s="220">
        <f>Y107-Y38</f>
        <v>1162092.77</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1162092.77</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8862593.9199999999</v>
      </c>
      <c r="J114" s="296">
        <f>ROUND(IF(E28=0,0,IF(E28&gt;250,-(((250/E28)*I114)*IF(H113="H",0.02,0.05)),IF(H113="H",-0.02*I114,-0.05*I114))),2)</f>
        <v>-43788.82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9219751.209999999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Payments'!R106</f>
        <v>-4500170.33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4719580.879999999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786596.81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133463.06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90"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468</v>
      </c>
      <c r="B2" s="102"/>
      <c r="C2" s="102"/>
      <c r="D2" s="102"/>
      <c r="E2" s="100"/>
      <c r="F2" s="100"/>
      <c r="G2" s="100"/>
      <c r="H2" s="100"/>
      <c r="I2" s="100"/>
      <c r="J2" s="100"/>
      <c r="K2" s="6"/>
      <c r="L2" s="6"/>
      <c r="M2" s="6"/>
      <c r="N2" s="6"/>
      <c r="O2" s="6"/>
      <c r="P2" s="6"/>
      <c r="Q2" s="6"/>
      <c r="R2" s="873" t="str">
        <f>Revenue_Estimate_Worksheet_for___________Charter_School</f>
        <v>Revenue Estimate Worksheet: Franklin Academy - Boynton Beach - 4020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Second'!$C$1:$C$65536,MATCH('4020'!$A$1,'[1]Detail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229.75</v>
      </c>
      <c r="D12" s="411">
        <v>220.51</v>
      </c>
      <c r="E12" s="979">
        <f t="shared" ref="E12:E27" si="0">IF($D$28=0,C12*2,C12+D12)</f>
        <v>450.26</v>
      </c>
      <c r="F12" s="979"/>
      <c r="G12" s="980">
        <v>1.1080000000000001</v>
      </c>
      <c r="H12" s="980"/>
      <c r="I12" s="578">
        <f>ROUND(E12*G12,4)</f>
        <v>498.88810000000001</v>
      </c>
      <c r="J12" s="579">
        <f t="shared" ref="J12:J27" si="1">ROUND(ROUND(ROUND(I12*$E$6,4)*($I$6),2)*(MAX($I$7,1)),2)</f>
        <v>2775477.79</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32.64</v>
      </c>
      <c r="D13" s="415">
        <v>36.9</v>
      </c>
      <c r="E13" s="965">
        <f t="shared" si="0"/>
        <v>69.539999999999992</v>
      </c>
      <c r="F13" s="965"/>
      <c r="G13" s="966">
        <v>1.1080000000000001</v>
      </c>
      <c r="H13" s="966"/>
      <c r="I13" s="578">
        <f t="shared" ref="I13:I27" si="2">ROUND(E13*G13,4)</f>
        <v>77.050299999999993</v>
      </c>
      <c r="J13" s="579">
        <f t="shared" si="1"/>
        <v>428656.04</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283.7</v>
      </c>
      <c r="D14" s="415">
        <v>276.13</v>
      </c>
      <c r="E14" s="965">
        <f t="shared" si="0"/>
        <v>559.82999999999993</v>
      </c>
      <c r="F14" s="965"/>
      <c r="G14" s="966">
        <v>1</v>
      </c>
      <c r="H14" s="966"/>
      <c r="I14" s="578">
        <f t="shared" si="2"/>
        <v>559.83000000000004</v>
      </c>
      <c r="J14" s="579">
        <f>ROUND(ROUND(ROUND(I14*$E$6,4)*($I$6),2)*(MAX($I$7,1)),2)</f>
        <v>3114517.52</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42.75</v>
      </c>
      <c r="D15" s="415">
        <v>44.54</v>
      </c>
      <c r="E15" s="965">
        <f t="shared" si="0"/>
        <v>87.289999999999992</v>
      </c>
      <c r="F15" s="965"/>
      <c r="G15" s="966">
        <v>1</v>
      </c>
      <c r="H15" s="966"/>
      <c r="I15" s="578">
        <f t="shared" si="2"/>
        <v>87.29</v>
      </c>
      <c r="J15" s="579">
        <f t="shared" si="1"/>
        <v>485622.84</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24.32</v>
      </c>
      <c r="D24" s="415">
        <v>22.7</v>
      </c>
      <c r="E24" s="965">
        <f t="shared" si="0"/>
        <v>47.019999999999996</v>
      </c>
      <c r="F24" s="965"/>
      <c r="G24" s="966">
        <v>1.165</v>
      </c>
      <c r="H24" s="966"/>
      <c r="I24" s="578">
        <f t="shared" si="2"/>
        <v>54.778300000000002</v>
      </c>
      <c r="J24" s="579">
        <f t="shared" si="1"/>
        <v>304749.61</v>
      </c>
      <c r="M24" s="2"/>
      <c r="R24" s="858" t="s">
        <v>32</v>
      </c>
      <c r="S24" s="858"/>
      <c r="T24" s="889">
        <f t="shared" si="3"/>
        <v>0</v>
      </c>
      <c r="U24" s="889"/>
      <c r="V24" s="894">
        <v>1</v>
      </c>
      <c r="W24" s="894"/>
      <c r="X24" s="156">
        <f t="shared" si="4"/>
        <v>0</v>
      </c>
      <c r="Y24" s="266">
        <f t="shared" si="6"/>
        <v>0</v>
      </c>
    </row>
    <row r="25" spans="1:25" x14ac:dyDescent="0.25">
      <c r="A25" s="859" t="s">
        <v>33</v>
      </c>
      <c r="B25" s="859"/>
      <c r="C25" s="415">
        <v>11.98</v>
      </c>
      <c r="D25" s="415">
        <v>11.19</v>
      </c>
      <c r="E25" s="965">
        <f t="shared" si="0"/>
        <v>23.17</v>
      </c>
      <c r="F25" s="965"/>
      <c r="G25" s="966">
        <v>1.165</v>
      </c>
      <c r="H25" s="966"/>
      <c r="I25" s="578">
        <f t="shared" si="2"/>
        <v>26.993099999999998</v>
      </c>
      <c r="J25" s="579">
        <f t="shared" si="1"/>
        <v>150171.45000000001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625.14</v>
      </c>
      <c r="D28" s="126">
        <f>SUM(D12:D27)</f>
        <v>611.97</v>
      </c>
      <c r="E28" s="990">
        <f>SUM(E12:E27)</f>
        <v>1237.1099999999999</v>
      </c>
      <c r="F28" s="990"/>
      <c r="G28" s="959"/>
      <c r="H28" s="959"/>
      <c r="I28" s="23">
        <f>SUM(I12:I27)</f>
        <v>1304.8297999999998</v>
      </c>
      <c r="J28" s="127">
        <f>SUM(J12:J27)</f>
        <v>7259195.25</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1304.8297999999998</v>
      </c>
      <c r="H33" s="959" t="s">
        <v>45</v>
      </c>
      <c r="I33" s="959"/>
      <c r="J33" s="32">
        <f>SUM(J32,J28)</f>
        <v>7259195.25</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7309562.2700000014</v>
      </c>
      <c r="H36" s="223" t="s">
        <v>49</v>
      </c>
      <c r="I36" s="38">
        <v>6.6699999999999995E-2</v>
      </c>
      <c r="J36" s="131">
        <f>ROUND(G36*I36,2)</f>
        <v>487547.8</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7309562.2700000014</v>
      </c>
      <c r="H37" s="223" t="s">
        <v>49</v>
      </c>
      <c r="I37" s="38">
        <v>5.4000000000000003E-3</v>
      </c>
      <c r="J37" s="131">
        <f>ROUND(G37*I37,2)</f>
        <v>39471.64</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527019.43999999994</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727"/>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27.62</v>
      </c>
      <c r="D41" s="415">
        <v>31.22</v>
      </c>
      <c r="E41" s="952">
        <f t="shared" ref="E41:E49" si="7">IF($D$50=0,C41*2,C41+D41)</f>
        <v>58.84</v>
      </c>
      <c r="F41" s="952"/>
      <c r="G41" s="223" t="s">
        <v>59</v>
      </c>
      <c r="H41" s="223">
        <v>251</v>
      </c>
      <c r="I41" s="136">
        <f>INDEX('[1]111-112-113 ADDITIONAL FUND'!D$1:D$65536,MATCH($A$1,'[1]111-112-113 ADDITIONAL FUND'!A$1:A$65536))</f>
        <v>1047</v>
      </c>
      <c r="J41" s="727">
        <f t="shared" ref="J41:J49" si="8">ROUND(E41*I41,2)</f>
        <v>61605.48</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5.0199999999999996</v>
      </c>
      <c r="D42" s="415">
        <v>5.68</v>
      </c>
      <c r="E42" s="952">
        <f t="shared" si="7"/>
        <v>10.7</v>
      </c>
      <c r="F42" s="952"/>
      <c r="G42" s="223" t="s">
        <v>59</v>
      </c>
      <c r="H42" s="223">
        <v>252</v>
      </c>
      <c r="I42" s="136">
        <f>INDEX('[1]111-112-113 ADDITIONAL FUND'!E$1:E$65536,MATCH($A$1,'[1]111-112-113 ADDITIONAL FUND'!A$1:A$65536))</f>
        <v>3380</v>
      </c>
      <c r="J42" s="727">
        <f t="shared" si="8"/>
        <v>36166</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36.71</v>
      </c>
      <c r="D44" s="415">
        <v>38.25</v>
      </c>
      <c r="E44" s="952">
        <f t="shared" si="7"/>
        <v>74.960000000000008</v>
      </c>
      <c r="F44" s="952"/>
      <c r="G44" s="47" t="s">
        <v>60</v>
      </c>
      <c r="H44" s="223">
        <v>251</v>
      </c>
      <c r="I44" s="136">
        <f>INDEX('[1]111-112-113 ADDITIONAL FUND'!G$1:G$65536,MATCH($A$1,'[1]111-112-113 ADDITIONAL FUND'!A$1:A$65536))</f>
        <v>1173</v>
      </c>
      <c r="J44" s="727">
        <f t="shared" si="8"/>
        <v>87928.08</v>
      </c>
      <c r="L44" s="3"/>
      <c r="M44" s="2"/>
      <c r="Q44" s="4"/>
      <c r="R44" s="901"/>
      <c r="S44" s="901"/>
      <c r="T44" s="903"/>
      <c r="U44" s="903"/>
      <c r="V44" s="182" t="s">
        <v>60</v>
      </c>
      <c r="W44" s="239">
        <v>251</v>
      </c>
      <c r="X44" s="134">
        <f t="shared" si="9"/>
        <v>1173</v>
      </c>
      <c r="Y44" s="269">
        <f t="shared" si="10"/>
        <v>0</v>
      </c>
    </row>
    <row r="45" spans="1:25" x14ac:dyDescent="0.25">
      <c r="A45" s="958"/>
      <c r="B45" s="958"/>
      <c r="C45" s="415">
        <v>6.04</v>
      </c>
      <c r="D45" s="415">
        <v>6.29</v>
      </c>
      <c r="E45" s="952">
        <f t="shared" si="7"/>
        <v>12.33</v>
      </c>
      <c r="F45" s="952"/>
      <c r="G45" s="47" t="s">
        <v>60</v>
      </c>
      <c r="H45" s="223">
        <v>252</v>
      </c>
      <c r="I45" s="136">
        <f>INDEX('[1]111-112-113 ADDITIONAL FUND'!H$1:H$65536,MATCH($A$1,'[1]111-112-113 ADDITIONAL FUND'!A$1:A$65536))</f>
        <v>3506</v>
      </c>
      <c r="J45" s="727">
        <f t="shared" si="8"/>
        <v>43228.98</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75.39</v>
      </c>
      <c r="D50" s="585">
        <f>SUM(D41:D49)</f>
        <v>81.440000000000012</v>
      </c>
      <c r="E50" s="954">
        <f>SUM(E41:E49)</f>
        <v>156.83000000000001</v>
      </c>
      <c r="F50" s="954"/>
      <c r="G50" s="910" t="s">
        <v>63</v>
      </c>
      <c r="H50" s="910"/>
      <c r="I50" s="910"/>
      <c r="J50" s="276">
        <f>SUM(J41:J49)</f>
        <v>228928.54</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1237.1099999999999</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5.7450000000000001E-3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1304.8297999999998</v>
      </c>
      <c r="U55" s="184" t="s">
        <v>66</v>
      </c>
      <c r="V55" s="185"/>
      <c r="W55" s="186" t="s">
        <v>71</v>
      </c>
      <c r="X55" s="917">
        <f>I56</f>
        <v>229051.25000000003</v>
      </c>
      <c r="Y55" s="917"/>
    </row>
    <row r="56" spans="1:25" ht="16.5" customHeight="1" x14ac:dyDescent="0.25">
      <c r="A56" s="897" t="s">
        <v>70</v>
      </c>
      <c r="B56" s="897"/>
      <c r="C56" s="237"/>
      <c r="D56" s="237"/>
      <c r="E56" s="48">
        <f>G33</f>
        <v>1304.8297999999998</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5.6969999999999998E-3</v>
      </c>
      <c r="Y56" s="918"/>
    </row>
    <row r="57" spans="1:25" ht="18.75" customHeight="1" x14ac:dyDescent="0.25">
      <c r="A57" s="237"/>
      <c r="H57" s="53" t="s">
        <v>68</v>
      </c>
      <c r="I57" s="943">
        <f>IFERROR(ROUND(E56/I56,6),0)</f>
        <v>5.6969999999999998E-3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1237.1099999999999</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6.646E-3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1237.1099999999999</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5.7540000000000004E-3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1237.1099999999999</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6.6559999999999996E-3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5.7540000000000004E-3</v>
      </c>
      <c r="J68" s="138">
        <f>ROUND(G68*I68,2)</f>
        <v>272110.96000000002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5.7450000000000001E-3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6.6559999999999996E-3</v>
      </c>
      <c r="J71" s="138">
        <f>ROUND(G71*I71,2)</f>
        <v>127581.42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6.646E-3</v>
      </c>
      <c r="J72" s="138">
        <f>ROUND(G72*I72,2)</f>
        <v>76740.62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5.6969999999999998E-3</v>
      </c>
      <c r="J85" s="138">
        <f>ROUND(G85*I85,2)</f>
        <v>1531446.34</v>
      </c>
      <c r="K85" s="70"/>
      <c r="L85" s="70"/>
      <c r="M85" s="71"/>
      <c r="N85" s="70"/>
      <c r="O85" s="70"/>
      <c r="P85" s="70"/>
      <c r="Q85" s="70"/>
      <c r="R85" s="860" t="s">
        <v>172</v>
      </c>
      <c r="S85" s="860"/>
      <c r="T85" s="860"/>
      <c r="U85" s="253"/>
      <c r="V85" s="171">
        <f>G85</f>
        <v>268816278</v>
      </c>
      <c r="W85" s="239" t="s">
        <v>81</v>
      </c>
      <c r="X85" s="176">
        <f>X56</f>
        <v>5.6969999999999998E-3</v>
      </c>
      <c r="Y85" s="266">
        <f t="shared" ref="Y85:Y87" si="12">ROUND(V85*X85,2)</f>
        <v>1531446.34</v>
      </c>
    </row>
    <row r="86" spans="1:26" ht="14.25" customHeight="1" x14ac:dyDescent="0.25">
      <c r="A86" s="896" t="s">
        <v>104</v>
      </c>
      <c r="B86" s="896"/>
      <c r="C86" s="896"/>
      <c r="D86" s="896"/>
      <c r="E86" s="896"/>
      <c r="F86" s="248" t="s">
        <v>103</v>
      </c>
      <c r="G86" s="139">
        <v>0</v>
      </c>
      <c r="H86" s="223" t="s">
        <v>81</v>
      </c>
      <c r="I86" s="41">
        <f>I57</f>
        <v>5.6969999999999998E-3</v>
      </c>
      <c r="J86" s="138">
        <f>ROUND(G86*I86,2)</f>
        <v>0</v>
      </c>
      <c r="K86" s="70"/>
      <c r="L86" s="71"/>
      <c r="M86" s="76"/>
      <c r="N86" s="76"/>
      <c r="O86" s="76"/>
      <c r="P86" s="76"/>
      <c r="Q86" s="70"/>
      <c r="R86" s="860" t="s">
        <v>173</v>
      </c>
      <c r="S86" s="860"/>
      <c r="T86" s="860"/>
      <c r="U86" s="253"/>
      <c r="V86" s="203">
        <f>G86</f>
        <v>0</v>
      </c>
      <c r="W86" s="239" t="s">
        <v>81</v>
      </c>
      <c r="X86" s="176">
        <f>X56</f>
        <v>5.6969999999999998E-3</v>
      </c>
      <c r="Y86" s="266">
        <f t="shared" si="12"/>
        <v>0</v>
      </c>
    </row>
    <row r="87" spans="1:26" ht="18" customHeight="1" x14ac:dyDescent="0.25">
      <c r="A87" s="896" t="s">
        <v>105</v>
      </c>
      <c r="B87" s="896"/>
      <c r="C87" s="896"/>
      <c r="D87" s="896"/>
      <c r="E87" s="896"/>
      <c r="F87" s="248" t="s">
        <v>84</v>
      </c>
      <c r="G87" s="139">
        <v>0</v>
      </c>
      <c r="H87" s="223" t="s">
        <v>81</v>
      </c>
      <c r="I87" s="41">
        <f>I54</f>
        <v>5.7450000000000001E-3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630.71669999999995</v>
      </c>
      <c r="C90" s="245"/>
      <c r="D90" s="867">
        <f>I6</f>
        <v>1.0355000000000001</v>
      </c>
      <c r="E90" s="867"/>
      <c r="F90" s="867"/>
      <c r="G90" s="122">
        <f>'[1]Detail 2025-26 FEFP Second'!AB3</f>
        <v>958.42</v>
      </c>
      <c r="H90" s="47" t="s">
        <v>68</v>
      </c>
      <c r="I90" s="727">
        <f>ROUND(B90*D90*G90,2)</f>
        <v>625950.94999999995</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674.11310000000003</v>
      </c>
      <c r="C91" s="245"/>
      <c r="D91" s="867">
        <f>I6</f>
        <v>1.0355000000000001</v>
      </c>
      <c r="E91" s="867"/>
      <c r="F91" s="867"/>
      <c r="G91" s="122">
        <f>'[1]Detail 2025-26 FEFP Second'!AC3</f>
        <v>915.09</v>
      </c>
      <c r="H91" s="47" t="s">
        <v>68</v>
      </c>
      <c r="I91" s="727">
        <f>ROUND(B91*D91*G91,2)</f>
        <v>638773.18999999994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1304.8298</v>
      </c>
      <c r="C93" s="109"/>
      <c r="D93" s="109"/>
      <c r="E93" s="937" t="s">
        <v>112</v>
      </c>
      <c r="F93" s="937"/>
      <c r="G93" s="937"/>
      <c r="H93" s="937"/>
      <c r="I93" s="937"/>
      <c r="J93" s="127">
        <f>IF(A1=75,0,I92+I91+I90)</f>
        <v>1264724.1399999999</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237</v>
      </c>
      <c r="D97" s="279">
        <v>244</v>
      </c>
      <c r="E97" s="989">
        <f>(C97+D97)/2</f>
        <v>240.5</v>
      </c>
      <c r="F97" s="940"/>
      <c r="G97" s="940"/>
      <c r="H97" s="224" t="s">
        <v>117</v>
      </c>
      <c r="I97" s="130">
        <f>IF(A1&gt;67,0,INDEX('[1]Transportation Per Student'!F$1:F$65536,MATCH(A1,'[1]Transportation Per Student'!B$1:B$65536)))</f>
        <v>617</v>
      </c>
      <c r="J97" s="138">
        <f>ROUND(I97*E97,2)</f>
        <v>148388.5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10909115.769999998</v>
      </c>
      <c r="L107" s="576"/>
      <c r="R107" s="860" t="s">
        <v>125</v>
      </c>
      <c r="S107" s="860"/>
      <c r="T107" s="860"/>
      <c r="U107" s="860"/>
      <c r="V107" s="860"/>
      <c r="W107" s="860"/>
      <c r="X107" s="860"/>
      <c r="Y107" s="219">
        <f>SUM(Y106,Y105,Y97,Y96,Y93,Y86,Y85,Y84,Y70,Y69,Y67,Y33,Y71,Y50,Y87,Y83)</f>
        <v>1531446.34</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10382096.329999998</v>
      </c>
      <c r="R109" s="170" t="s">
        <v>180</v>
      </c>
      <c r="S109" s="170"/>
      <c r="T109" s="170"/>
      <c r="U109" s="170"/>
      <c r="V109" s="170"/>
      <c r="W109" s="170"/>
      <c r="X109" s="170"/>
      <c r="Y109" s="220">
        <f>Y107-Y38</f>
        <v>1531446.34</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1531446.34</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9"/>
      <c r="I114" s="710">
        <f>IF(I111=1,J111,J109)</f>
        <v>10382096.329999998</v>
      </c>
      <c r="J114" s="711">
        <f>ROUND(IF(E28=0,0,IF(E28&gt;250,-(((250/E28)*I114)*IF(H114="H",0.02,0.05)),IF(H114="H",-0.02*I114,-0.05*I114))),2)</f>
        <v>-104902.72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5"/>
      <c r="I116" s="716"/>
      <c r="J116" s="717">
        <f>J107+J114</f>
        <v>10804213.049999997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2"/>
      <c r="I118" s="713"/>
      <c r="J118" s="718">
        <f>-'Cumulative Payments'!R107</f>
        <v>-5405633.0800000001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2"/>
      <c r="I120" s="713"/>
      <c r="J120" s="714">
        <f>J116+J118</f>
        <v>5398579.9699999969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2"/>
      <c r="I122" s="713"/>
      <c r="J122" s="719" cm="1">
        <f t="array" ref="J122:J123">'0040'!J122:J123</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v>0</v>
      </c>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2"/>
      <c r="I124" s="713"/>
      <c r="J124" s="720">
        <f>ROUND(J120/J122,2)</f>
        <v>899763.33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2"/>
      <c r="I126" s="713"/>
      <c r="J126" s="721">
        <f>ROUND(IF(H114="H",(I114*0.02)+J114,(I114*0.05)+J114),2)</f>
        <v>414202.1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74"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469</v>
      </c>
      <c r="B2" s="102"/>
      <c r="C2" s="102"/>
      <c r="D2" s="102"/>
      <c r="E2" s="100"/>
      <c r="F2" s="100"/>
      <c r="G2" s="100"/>
      <c r="H2" s="100"/>
      <c r="I2" s="100"/>
      <c r="J2" s="100"/>
      <c r="K2" s="6"/>
      <c r="L2" s="6"/>
      <c r="M2" s="6"/>
      <c r="N2" s="6"/>
      <c r="O2" s="6"/>
      <c r="P2" s="6"/>
      <c r="Q2" s="6"/>
      <c r="R2" s="873" t="str">
        <f>Revenue_Estimate_Worksheet_for___________Charter_School</f>
        <v>Revenue Estimate Worksheet: Olympus International Academy - 4030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Second'!$C$1:$C$65536,MATCH('4030'!$A$1,'[1]Detail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43.44</v>
      </c>
      <c r="D12" s="411">
        <v>48.73</v>
      </c>
      <c r="E12" s="979">
        <f t="shared" ref="E12:E27" si="0">IF($D$28=0,C12*2,C12+D12)</f>
        <v>92.169999999999987</v>
      </c>
      <c r="F12" s="979"/>
      <c r="G12" s="980">
        <v>1.1080000000000001</v>
      </c>
      <c r="H12" s="980"/>
      <c r="I12" s="578">
        <f>ROUND(E12*G12,4)</f>
        <v>102.12439999999999</v>
      </c>
      <c r="J12" s="579">
        <f t="shared" ref="J12:J27" si="1">ROUND(ROUND(ROUND(I12*$E$6,4)*($I$6),2)*(MAX($I$7,1)),2)</f>
        <v>568151.46</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1.5</v>
      </c>
      <c r="D13" s="415">
        <v>2</v>
      </c>
      <c r="E13" s="965">
        <f t="shared" si="0"/>
        <v>3.5</v>
      </c>
      <c r="F13" s="965"/>
      <c r="G13" s="966">
        <v>1.1080000000000001</v>
      </c>
      <c r="H13" s="966"/>
      <c r="I13" s="578">
        <f t="shared" ref="I13:I27" si="2">ROUND(E13*G13,4)</f>
        <v>3.8780000000000001</v>
      </c>
      <c r="J13" s="579">
        <f t="shared" si="1"/>
        <v>21574.58</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33.81</v>
      </c>
      <c r="D14" s="415">
        <v>38.32</v>
      </c>
      <c r="E14" s="965">
        <f t="shared" si="0"/>
        <v>72.13</v>
      </c>
      <c r="F14" s="965"/>
      <c r="G14" s="966">
        <v>1</v>
      </c>
      <c r="H14" s="966"/>
      <c r="I14" s="578">
        <f t="shared" si="2"/>
        <v>72.13</v>
      </c>
      <c r="J14" s="579">
        <f>ROUND(ROUND(ROUND(I14*$E$6,4)*($I$6),2)*(MAX($I$7,1)),2)</f>
        <v>401282.8</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3</v>
      </c>
      <c r="D15" s="415">
        <v>3</v>
      </c>
      <c r="E15" s="965">
        <f t="shared" si="0"/>
        <v>6</v>
      </c>
      <c r="F15" s="965"/>
      <c r="G15" s="966">
        <v>1</v>
      </c>
      <c r="H15" s="966"/>
      <c r="I15" s="578">
        <f t="shared" si="2"/>
        <v>6</v>
      </c>
      <c r="J15" s="579">
        <f t="shared" si="1"/>
        <v>33379.96</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50.09</v>
      </c>
      <c r="D24" s="415">
        <v>42.71</v>
      </c>
      <c r="E24" s="965">
        <f t="shared" si="0"/>
        <v>92.800000000000011</v>
      </c>
      <c r="F24" s="965"/>
      <c r="G24" s="966">
        <v>1.165</v>
      </c>
      <c r="H24" s="966"/>
      <c r="I24" s="578">
        <f t="shared" si="2"/>
        <v>108.11199999999999</v>
      </c>
      <c r="J24" s="579">
        <f t="shared" si="1"/>
        <v>601462.43999999994</v>
      </c>
      <c r="M24" s="2"/>
      <c r="R24" s="858" t="s">
        <v>32</v>
      </c>
      <c r="S24" s="858"/>
      <c r="T24" s="889">
        <f t="shared" si="3"/>
        <v>0</v>
      </c>
      <c r="U24" s="889"/>
      <c r="V24" s="894">
        <v>1</v>
      </c>
      <c r="W24" s="894"/>
      <c r="X24" s="156">
        <f t="shared" si="4"/>
        <v>0</v>
      </c>
      <c r="Y24" s="266">
        <f t="shared" si="6"/>
        <v>0</v>
      </c>
    </row>
    <row r="25" spans="1:25" x14ac:dyDescent="0.25">
      <c r="A25" s="859" t="s">
        <v>33</v>
      </c>
      <c r="B25" s="859"/>
      <c r="C25" s="415">
        <v>20.14</v>
      </c>
      <c r="D25" s="415">
        <v>17.18</v>
      </c>
      <c r="E25" s="965">
        <f t="shared" si="0"/>
        <v>37.32</v>
      </c>
      <c r="F25" s="965"/>
      <c r="G25" s="966">
        <v>1.165</v>
      </c>
      <c r="H25" s="966"/>
      <c r="I25" s="578">
        <f t="shared" si="2"/>
        <v>43.477800000000002</v>
      </c>
      <c r="J25" s="579">
        <f t="shared" si="1"/>
        <v>241881.23</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151.98000000000002</v>
      </c>
      <c r="D28" s="126">
        <f>SUM(D12:D27)</f>
        <v>151.94</v>
      </c>
      <c r="E28" s="964">
        <f>SUM(E12:E27)</f>
        <v>303.92</v>
      </c>
      <c r="F28" s="964"/>
      <c r="G28" s="959"/>
      <c r="H28" s="959"/>
      <c r="I28" s="23">
        <f>SUM(I12:I27)</f>
        <v>335.72219999999999</v>
      </c>
      <c r="J28" s="127">
        <f>SUM(J12:J27)</f>
        <v>1867732.4699999997</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335.72219999999999</v>
      </c>
      <c r="H33" s="959" t="s">
        <v>45</v>
      </c>
      <c r="I33" s="959"/>
      <c r="J33" s="32">
        <f>SUM(J32,J28)</f>
        <v>1867732.4699999997</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1874258.81</v>
      </c>
      <c r="H36" s="223" t="s">
        <v>49</v>
      </c>
      <c r="I36" s="38">
        <v>6.6699999999999995E-2</v>
      </c>
      <c r="J36" s="131">
        <f>ROUND(G36*I36,2)</f>
        <v>125013.06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1874258.81</v>
      </c>
      <c r="H37" s="223" t="s">
        <v>49</v>
      </c>
      <c r="I37" s="38">
        <v>5.4000000000000003E-3</v>
      </c>
      <c r="J37" s="131">
        <f>ROUND(G37*I37,2)</f>
        <v>10121</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135134.06</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727"/>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1.5</v>
      </c>
      <c r="D41" s="415">
        <v>2</v>
      </c>
      <c r="E41" s="952">
        <f t="shared" ref="E41:E49" si="7">IF($D$50=0,C41*2,C41+D41)</f>
        <v>3.5</v>
      </c>
      <c r="F41" s="952"/>
      <c r="G41" s="223" t="s">
        <v>59</v>
      </c>
      <c r="H41" s="223">
        <v>251</v>
      </c>
      <c r="I41" s="136">
        <f>INDEX('[1]111-112-113 ADDITIONAL FUND'!D$1:D$65536,MATCH($A$1,'[1]111-112-113 ADDITIONAL FUND'!A$1:A$65536))</f>
        <v>1047</v>
      </c>
      <c r="J41" s="727">
        <f t="shared" ref="J41:J49" si="8">ROUND(E41*I41,2)</f>
        <v>3664.5</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3</v>
      </c>
      <c r="D44" s="415">
        <v>3</v>
      </c>
      <c r="E44" s="952">
        <f t="shared" si="7"/>
        <v>6</v>
      </c>
      <c r="F44" s="952"/>
      <c r="G44" s="47" t="s">
        <v>60</v>
      </c>
      <c r="H44" s="223">
        <v>251</v>
      </c>
      <c r="I44" s="136">
        <f>INDEX('[1]111-112-113 ADDITIONAL FUND'!G$1:G$65536,MATCH($A$1,'[1]111-112-113 ADDITIONAL FUND'!A$1:A$65536))</f>
        <v>1173</v>
      </c>
      <c r="J44" s="727">
        <f t="shared" si="8"/>
        <v>7038</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4.5</v>
      </c>
      <c r="D50" s="585">
        <f>SUM(D41:D49)</f>
        <v>5</v>
      </c>
      <c r="E50" s="954">
        <f>SUM(E41:E49)</f>
        <v>9.5</v>
      </c>
      <c r="F50" s="954"/>
      <c r="G50" s="910" t="s">
        <v>63</v>
      </c>
      <c r="H50" s="910"/>
      <c r="I50" s="910"/>
      <c r="J50" s="276">
        <f>SUM(J41:J49)</f>
        <v>10702.5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303.92</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1.4109999999999999E-3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335.72219999999999</v>
      </c>
      <c r="U55" s="184" t="s">
        <v>66</v>
      </c>
      <c r="V55" s="185"/>
      <c r="W55" s="186" t="s">
        <v>71</v>
      </c>
      <c r="X55" s="917">
        <f>I56</f>
        <v>229051.25000000003</v>
      </c>
      <c r="Y55" s="917"/>
    </row>
    <row r="56" spans="1:25" ht="16.5" customHeight="1" x14ac:dyDescent="0.25">
      <c r="A56" s="897" t="s">
        <v>70</v>
      </c>
      <c r="B56" s="897"/>
      <c r="C56" s="237"/>
      <c r="D56" s="237"/>
      <c r="E56" s="48">
        <f>G33</f>
        <v>335.72219999999999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1.4660000000000001E-3</v>
      </c>
      <c r="Y56" s="918"/>
    </row>
    <row r="57" spans="1:25" ht="18.75" customHeight="1" x14ac:dyDescent="0.25">
      <c r="A57" s="237"/>
      <c r="H57" s="53" t="s">
        <v>68</v>
      </c>
      <c r="I57" s="943">
        <f>IFERROR(ROUND(E56/I56,6),0)</f>
        <v>1.4660000000000001E-3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303.92</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1.6329999999999999E-3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303.92</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1.413E-3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303.92</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1.635E-3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1.413E-3</v>
      </c>
      <c r="J68" s="138">
        <f>ROUND(G68*I68,2)</f>
        <v>66821.83</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1.4109999999999999E-3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1.635E-3</v>
      </c>
      <c r="J71" s="138">
        <f>ROUND(G71*I71,2)</f>
        <v>31339.49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1.6329999999999999E-3</v>
      </c>
      <c r="J72" s="138">
        <f>ROUND(G72*I72,2)</f>
        <v>18856.07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1.4660000000000001E-3</v>
      </c>
      <c r="J85" s="138">
        <f>ROUND(G85*I85,2)</f>
        <v>394084.66</v>
      </c>
      <c r="K85" s="70"/>
      <c r="L85" s="70"/>
      <c r="M85" s="71"/>
      <c r="N85" s="70"/>
      <c r="O85" s="70"/>
      <c r="P85" s="70"/>
      <c r="Q85" s="70"/>
      <c r="R85" s="860" t="s">
        <v>172</v>
      </c>
      <c r="S85" s="860"/>
      <c r="T85" s="860"/>
      <c r="U85" s="253"/>
      <c r="V85" s="171">
        <f>G85</f>
        <v>268816278</v>
      </c>
      <c r="W85" s="239" t="s">
        <v>81</v>
      </c>
      <c r="X85" s="176">
        <f>X56</f>
        <v>1.4660000000000001E-3</v>
      </c>
      <c r="Y85" s="266">
        <f t="shared" ref="Y85:Y87" si="12">ROUND(V85*X85,2)</f>
        <v>394084.66</v>
      </c>
    </row>
    <row r="86" spans="1:26" ht="14.25" customHeight="1" x14ac:dyDescent="0.25">
      <c r="A86" s="896" t="s">
        <v>104</v>
      </c>
      <c r="B86" s="896"/>
      <c r="C86" s="896"/>
      <c r="D86" s="896"/>
      <c r="E86" s="896"/>
      <c r="F86" s="248" t="s">
        <v>103</v>
      </c>
      <c r="G86" s="139">
        <v>0</v>
      </c>
      <c r="H86" s="223" t="s">
        <v>81</v>
      </c>
      <c r="I86" s="41">
        <f>I57</f>
        <v>1.4660000000000001E-3</v>
      </c>
      <c r="J86" s="138">
        <f>ROUND(G86*I86,2)</f>
        <v>0</v>
      </c>
      <c r="K86" s="70"/>
      <c r="L86" s="71"/>
      <c r="M86" s="76"/>
      <c r="N86" s="76"/>
      <c r="O86" s="76"/>
      <c r="P86" s="76"/>
      <c r="Q86" s="70"/>
      <c r="R86" s="860" t="s">
        <v>173</v>
      </c>
      <c r="S86" s="860"/>
      <c r="T86" s="860"/>
      <c r="U86" s="253"/>
      <c r="V86" s="203">
        <f>G86</f>
        <v>0</v>
      </c>
      <c r="W86" s="239" t="s">
        <v>81</v>
      </c>
      <c r="X86" s="176">
        <f>X56</f>
        <v>1.4660000000000001E-3</v>
      </c>
      <c r="Y86" s="266">
        <f t="shared" si="12"/>
        <v>0</v>
      </c>
    </row>
    <row r="87" spans="1:26" ht="18" customHeight="1" x14ac:dyDescent="0.25">
      <c r="A87" s="896" t="s">
        <v>105</v>
      </c>
      <c r="B87" s="896"/>
      <c r="C87" s="896"/>
      <c r="D87" s="896"/>
      <c r="E87" s="896"/>
      <c r="F87" s="248" t="s">
        <v>84</v>
      </c>
      <c r="G87" s="139">
        <v>0</v>
      </c>
      <c r="H87" s="223" t="s">
        <v>81</v>
      </c>
      <c r="I87" s="41">
        <f>I54</f>
        <v>1.4109999999999999E-3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214.11439999999999</v>
      </c>
      <c r="C90" s="245"/>
      <c r="D90" s="867">
        <f>I6</f>
        <v>1.0355000000000001</v>
      </c>
      <c r="E90" s="867"/>
      <c r="F90" s="867"/>
      <c r="G90" s="122">
        <f>'[1]Detail 2025-26 FEFP Second'!AB3</f>
        <v>958.42</v>
      </c>
      <c r="H90" s="47" t="s">
        <v>68</v>
      </c>
      <c r="I90" s="727">
        <f>ROUND(B90*D90*G90,2)</f>
        <v>212496.53</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121.6078</v>
      </c>
      <c r="C91" s="245"/>
      <c r="D91" s="867">
        <f>I6</f>
        <v>1.0355000000000001</v>
      </c>
      <c r="E91" s="867"/>
      <c r="F91" s="867"/>
      <c r="G91" s="122">
        <f>'[1]Detail 2025-26 FEFP Second'!AC3</f>
        <v>915.09</v>
      </c>
      <c r="H91" s="47" t="s">
        <v>68</v>
      </c>
      <c r="I91" s="727">
        <f>ROUND(B91*D91*G91,2)</f>
        <v>115232.6</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335.72219999999999</v>
      </c>
      <c r="C93" s="109"/>
      <c r="D93" s="109"/>
      <c r="E93" s="937" t="s">
        <v>112</v>
      </c>
      <c r="F93" s="937"/>
      <c r="G93" s="937"/>
      <c r="H93" s="937"/>
      <c r="I93" s="937"/>
      <c r="J93" s="127">
        <f>IF(A1=75,0,I92+I91+I90)</f>
        <v>327729.13</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2717266.1499999994</v>
      </c>
      <c r="L107" s="576"/>
      <c r="R107" s="860" t="s">
        <v>125</v>
      </c>
      <c r="S107" s="860"/>
      <c r="T107" s="860"/>
      <c r="U107" s="860"/>
      <c r="V107" s="860"/>
      <c r="W107" s="860"/>
      <c r="X107" s="860"/>
      <c r="Y107" s="219">
        <f>SUM(Y106,Y105,Y97,Y96,Y93,Y86,Y85,Y84,Y70,Y69,Y67,Y33,Y71,Y50,Y87,Y83)</f>
        <v>394084.66</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2582132.0899999994</v>
      </c>
      <c r="R109" s="170" t="s">
        <v>180</v>
      </c>
      <c r="S109" s="170"/>
      <c r="T109" s="170"/>
      <c r="U109" s="170"/>
      <c r="V109" s="170"/>
      <c r="W109" s="170"/>
      <c r="X109" s="170"/>
      <c r="Y109" s="220">
        <f>Y107-Y38</f>
        <v>394084.66</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394084.66</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2582132.0899999994</v>
      </c>
      <c r="J114" s="296">
        <f>ROUND(IF(E28=0,0,IF(E28&gt;250,-(((250/E28)*I114)*IF(H114="H",0.02,0.05)),IF(H114="H",-0.02*I114,-0.05*I114))),2)</f>
        <v>-106201.14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2611065.0099999993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Payments'!R108</f>
        <v>-1306151.49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1304913.5199999993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217485.59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22905.46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8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470</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Wellington - 4031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Second'!$C$1:$C$65536,MATCH('4031'!$A$1,'[1]Detail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63.96</v>
      </c>
      <c r="D12" s="411">
        <v>62.42</v>
      </c>
      <c r="E12" s="979">
        <f t="shared" ref="E12:E27" si="0">IF($D$28=0,C12*2,C12+D12)</f>
        <v>126.38</v>
      </c>
      <c r="F12" s="979"/>
      <c r="G12" s="980">
        <v>1.1080000000000001</v>
      </c>
      <c r="H12" s="980"/>
      <c r="I12" s="578">
        <f>ROUND(E12*G12,4)</f>
        <v>140.029</v>
      </c>
      <c r="J12" s="579">
        <f t="shared" ref="J12:J27" si="1">ROUND(ROUND(ROUND(I12*$E$6,4)*($I$6),2)*(MAX($I$7,1)),2)</f>
        <v>779027.16</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5</v>
      </c>
      <c r="D13" s="415">
        <v>5.5</v>
      </c>
      <c r="E13" s="965">
        <f t="shared" si="0"/>
        <v>10.5</v>
      </c>
      <c r="F13" s="965"/>
      <c r="G13" s="966">
        <v>1.1080000000000001</v>
      </c>
      <c r="H13" s="966"/>
      <c r="I13" s="578">
        <f t="shared" ref="I13:I27" si="2">ROUND(E13*G13,4)</f>
        <v>11.634</v>
      </c>
      <c r="J13" s="579">
        <f t="shared" si="1"/>
        <v>64723.75</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94.97</v>
      </c>
      <c r="D14" s="415">
        <v>96.76</v>
      </c>
      <c r="E14" s="965">
        <f t="shared" si="0"/>
        <v>191.73000000000002</v>
      </c>
      <c r="F14" s="965"/>
      <c r="G14" s="966">
        <v>1</v>
      </c>
      <c r="H14" s="966"/>
      <c r="I14" s="578">
        <f t="shared" si="2"/>
        <v>191.73</v>
      </c>
      <c r="J14" s="579">
        <f>ROUND(ROUND(ROUND(I14*$E$6,4)*($I$6),2)*(MAX($I$7,1)),2)</f>
        <v>1066656.74</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18.809999999999999</v>
      </c>
      <c r="D15" s="415">
        <v>16.96</v>
      </c>
      <c r="E15" s="965">
        <f t="shared" si="0"/>
        <v>35.769999999999996</v>
      </c>
      <c r="F15" s="965"/>
      <c r="G15" s="966">
        <v>1</v>
      </c>
      <c r="H15" s="966"/>
      <c r="I15" s="578">
        <f t="shared" si="2"/>
        <v>35.770000000000003</v>
      </c>
      <c r="J15" s="579">
        <f t="shared" si="1"/>
        <v>199000.22</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27.02</v>
      </c>
      <c r="D24" s="415">
        <v>23.77</v>
      </c>
      <c r="E24" s="965">
        <f t="shared" si="0"/>
        <v>50.79</v>
      </c>
      <c r="F24" s="965"/>
      <c r="G24" s="966">
        <v>1.165</v>
      </c>
      <c r="H24" s="966"/>
      <c r="I24" s="578">
        <f t="shared" si="2"/>
        <v>59.170400000000001</v>
      </c>
      <c r="J24" s="579">
        <f t="shared" si="1"/>
        <v>329184.3</v>
      </c>
      <c r="M24" s="2"/>
      <c r="R24" s="858" t="s">
        <v>32</v>
      </c>
      <c r="S24" s="858"/>
      <c r="T24" s="889">
        <f t="shared" si="3"/>
        <v>0</v>
      </c>
      <c r="U24" s="889"/>
      <c r="V24" s="894">
        <v>1</v>
      </c>
      <c r="W24" s="894"/>
      <c r="X24" s="156">
        <f t="shared" si="4"/>
        <v>0</v>
      </c>
      <c r="Y24" s="266">
        <f t="shared" si="6"/>
        <v>0</v>
      </c>
    </row>
    <row r="25" spans="1:25" x14ac:dyDescent="0.25">
      <c r="A25" s="859" t="s">
        <v>33</v>
      </c>
      <c r="B25" s="859"/>
      <c r="C25" s="415">
        <v>19.579999999999998</v>
      </c>
      <c r="D25" s="415">
        <v>17.21</v>
      </c>
      <c r="E25" s="965">
        <f t="shared" si="0"/>
        <v>36.79</v>
      </c>
      <c r="F25" s="965"/>
      <c r="G25" s="966">
        <v>1.165</v>
      </c>
      <c r="H25" s="966"/>
      <c r="I25" s="578">
        <f t="shared" si="2"/>
        <v>42.860399999999998</v>
      </c>
      <c r="J25" s="579">
        <f t="shared" si="1"/>
        <v>238446.43</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229.34000000000003</v>
      </c>
      <c r="D28" s="126">
        <f>SUM(D12:D27)</f>
        <v>222.62000000000003</v>
      </c>
      <c r="E28" s="964">
        <f>SUM(E12:E27)</f>
        <v>451.96000000000004</v>
      </c>
      <c r="F28" s="964"/>
      <c r="G28" s="959"/>
      <c r="H28" s="959"/>
      <c r="I28" s="23">
        <f>SUM(I12:I27)</f>
        <v>481.19380000000001</v>
      </c>
      <c r="J28" s="127">
        <f>SUM(J12:J27)</f>
        <v>2677038.6</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481.19380000000001</v>
      </c>
      <c r="H33" s="959" t="s">
        <v>45</v>
      </c>
      <c r="I33" s="959"/>
      <c r="J33" s="32">
        <f>SUM(J32,J28)</f>
        <v>2677038.6</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2716972.73</v>
      </c>
      <c r="H36" s="223" t="s">
        <v>49</v>
      </c>
      <c r="I36" s="38">
        <v>6.6699999999999995E-2</v>
      </c>
      <c r="J36" s="131">
        <f>ROUND(G36*I36,2)</f>
        <v>181222.08</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2716972.73</v>
      </c>
      <c r="H37" s="223" t="s">
        <v>49</v>
      </c>
      <c r="I37" s="38">
        <v>5.4000000000000003E-3</v>
      </c>
      <c r="J37" s="131">
        <f>ROUND(G37*I37,2)</f>
        <v>14671.65</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195893.72999999998</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3</v>
      </c>
      <c r="D41" s="415">
        <v>3.3</v>
      </c>
      <c r="E41" s="952">
        <f t="shared" ref="E41:E49" si="7">IF($D$50=0,C41*2,C41+D41)</f>
        <v>6.3</v>
      </c>
      <c r="F41" s="952"/>
      <c r="G41" s="223" t="s">
        <v>59</v>
      </c>
      <c r="H41" s="223">
        <v>251</v>
      </c>
      <c r="I41" s="136">
        <f>INDEX('[1]111-112-113 ADDITIONAL FUND'!D$1:D$65536,MATCH($A$1,'[1]111-112-113 ADDITIONAL FUND'!A$1:A$65536))</f>
        <v>1047</v>
      </c>
      <c r="J41" s="46">
        <f t="shared" ref="J41:J49" si="8">ROUND(E41*I41,2)</f>
        <v>6596.1</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2</v>
      </c>
      <c r="D42" s="415">
        <v>2.2000000000000002</v>
      </c>
      <c r="E42" s="952">
        <f t="shared" si="7"/>
        <v>4.2</v>
      </c>
      <c r="F42" s="952"/>
      <c r="G42" s="223" t="s">
        <v>59</v>
      </c>
      <c r="H42" s="223">
        <v>252</v>
      </c>
      <c r="I42" s="136">
        <f>INDEX('[1]111-112-113 ADDITIONAL FUND'!E$1:E$65536,MATCH($A$1,'[1]111-112-113 ADDITIONAL FUND'!A$1:A$65536))</f>
        <v>3380</v>
      </c>
      <c r="J42" s="46">
        <f t="shared" si="8"/>
        <v>14196</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15.29</v>
      </c>
      <c r="D44" s="415">
        <v>13.78</v>
      </c>
      <c r="E44" s="952">
        <f t="shared" si="7"/>
        <v>29.07</v>
      </c>
      <c r="F44" s="952"/>
      <c r="G44" s="47" t="s">
        <v>60</v>
      </c>
      <c r="H44" s="223">
        <v>251</v>
      </c>
      <c r="I44" s="136">
        <f>INDEX('[1]111-112-113 ADDITIONAL FUND'!G$1:G$65536,MATCH($A$1,'[1]111-112-113 ADDITIONAL FUND'!A$1:A$65536))</f>
        <v>1173</v>
      </c>
      <c r="J44" s="137">
        <f t="shared" si="8"/>
        <v>34099.11</v>
      </c>
      <c r="L44" s="3"/>
      <c r="M44" s="2"/>
      <c r="Q44" s="4"/>
      <c r="R44" s="901"/>
      <c r="S44" s="901"/>
      <c r="T44" s="903"/>
      <c r="U44" s="903"/>
      <c r="V44" s="182" t="s">
        <v>60</v>
      </c>
      <c r="W44" s="239">
        <v>251</v>
      </c>
      <c r="X44" s="134">
        <f t="shared" si="9"/>
        <v>1173</v>
      </c>
      <c r="Y44" s="269">
        <f t="shared" si="10"/>
        <v>0</v>
      </c>
    </row>
    <row r="45" spans="1:25" x14ac:dyDescent="0.25">
      <c r="A45" s="958"/>
      <c r="B45" s="958"/>
      <c r="C45" s="415">
        <v>3.52</v>
      </c>
      <c r="D45" s="415">
        <v>3.18</v>
      </c>
      <c r="E45" s="952">
        <f t="shared" si="7"/>
        <v>6.7</v>
      </c>
      <c r="F45" s="952"/>
      <c r="G45" s="47" t="s">
        <v>60</v>
      </c>
      <c r="H45" s="223">
        <v>252</v>
      </c>
      <c r="I45" s="136">
        <f>INDEX('[1]111-112-113 ADDITIONAL FUND'!H$1:H$65536,MATCH($A$1,'[1]111-112-113 ADDITIONAL FUND'!A$1:A$65536))</f>
        <v>3506</v>
      </c>
      <c r="J45" s="46">
        <f t="shared" si="8"/>
        <v>23490.2</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23.81</v>
      </c>
      <c r="D50" s="585">
        <f>SUM(D41:D49)</f>
        <v>22.46</v>
      </c>
      <c r="E50" s="954">
        <f>SUM(E41:E49)</f>
        <v>46.27</v>
      </c>
      <c r="F50" s="954"/>
      <c r="G50" s="910" t="s">
        <v>63</v>
      </c>
      <c r="H50" s="910"/>
      <c r="I50" s="910"/>
      <c r="J50" s="276">
        <f>SUM(J41:J49)</f>
        <v>78381.41</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451.96000000000004</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2.0990000000000002E-3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481.19380000000001</v>
      </c>
      <c r="U55" s="184" t="s">
        <v>66</v>
      </c>
      <c r="V55" s="185"/>
      <c r="W55" s="186" t="s">
        <v>71</v>
      </c>
      <c r="X55" s="917">
        <f>I56</f>
        <v>229051.25000000003</v>
      </c>
      <c r="Y55" s="917"/>
    </row>
    <row r="56" spans="1:25" ht="16.5" customHeight="1" x14ac:dyDescent="0.25">
      <c r="A56" s="897" t="s">
        <v>70</v>
      </c>
      <c r="B56" s="897"/>
      <c r="C56" s="237"/>
      <c r="D56" s="237"/>
      <c r="E56" s="48">
        <f>G33</f>
        <v>481.19380000000001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2.101E-3</v>
      </c>
      <c r="Y56" s="918"/>
    </row>
    <row r="57" spans="1:25" ht="18.75" customHeight="1" x14ac:dyDescent="0.25">
      <c r="A57" s="237"/>
      <c r="H57" s="53" t="s">
        <v>68</v>
      </c>
      <c r="I57" s="943">
        <f>IFERROR(ROUND(E56/I56,6),0)</f>
        <v>2.101E-3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451.96000000000004</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2.428E-3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451.96000000000004</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2.1020000000000001E-3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451.96000000000004</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2.4320000000000001E-3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2.1020000000000001E-3</v>
      </c>
      <c r="J68" s="138">
        <f>ROUND(G68*I68,2)</f>
        <v>99405.15</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733">
        <f>INDEX('[1]Detail 2025-26 FEFP Second'!L$1:L$65536,MATCH(A1,'[1]Detail 2025-26 FEFP Second'!A$1:A$65536))</f>
        <v>0</v>
      </c>
      <c r="H70" s="223" t="s">
        <v>81</v>
      </c>
      <c r="I70" s="41">
        <f>I54</f>
        <v>2.0990000000000002E-3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2.4320000000000001E-3</v>
      </c>
      <c r="J71" s="138">
        <f>ROUND(G71*I71,2)</f>
        <v>46616.29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2.428E-3</v>
      </c>
      <c r="J72" s="138">
        <f>ROUND(G72*I72,2)</f>
        <v>28035.85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2.101E-3</v>
      </c>
      <c r="J85" s="138">
        <f>ROUND(G85*I85,2)</f>
        <v>564783</v>
      </c>
      <c r="K85" s="70"/>
      <c r="L85" s="70"/>
      <c r="M85" s="71"/>
      <c r="N85" s="70"/>
      <c r="O85" s="70"/>
      <c r="P85" s="70"/>
      <c r="Q85" s="70"/>
      <c r="R85" s="860" t="s">
        <v>172</v>
      </c>
      <c r="S85" s="860"/>
      <c r="T85" s="860"/>
      <c r="U85" s="253"/>
      <c r="V85" s="171">
        <f>G85</f>
        <v>268816278</v>
      </c>
      <c r="W85" s="239" t="s">
        <v>81</v>
      </c>
      <c r="X85" s="176">
        <f>X56</f>
        <v>2.101E-3</v>
      </c>
      <c r="Y85" s="266">
        <f t="shared" ref="Y85:Y87" si="12">ROUND(V85*X85,2)</f>
        <v>564783</v>
      </c>
    </row>
    <row r="86" spans="1:26" ht="14.25" customHeight="1" x14ac:dyDescent="0.25">
      <c r="A86" s="896" t="s">
        <v>104</v>
      </c>
      <c r="B86" s="896"/>
      <c r="C86" s="896"/>
      <c r="D86" s="896"/>
      <c r="E86" s="896"/>
      <c r="F86" s="248" t="s">
        <v>103</v>
      </c>
      <c r="G86" s="139">
        <v>0</v>
      </c>
      <c r="H86" s="223" t="s">
        <v>81</v>
      </c>
      <c r="I86" s="41">
        <f>I57</f>
        <v>2.101E-3</v>
      </c>
      <c r="J86" s="138">
        <f>ROUND(G86*I86,2)</f>
        <v>0</v>
      </c>
      <c r="K86" s="70"/>
      <c r="L86" s="71"/>
      <c r="M86" s="76"/>
      <c r="N86" s="76"/>
      <c r="O86" s="76"/>
      <c r="P86" s="76"/>
      <c r="Q86" s="70"/>
      <c r="R86" s="860" t="s">
        <v>173</v>
      </c>
      <c r="S86" s="860"/>
      <c r="T86" s="860"/>
      <c r="U86" s="253"/>
      <c r="V86" s="203">
        <f>G86</f>
        <v>0</v>
      </c>
      <c r="W86" s="239" t="s">
        <v>81</v>
      </c>
      <c r="X86" s="176">
        <f>X56</f>
        <v>2.101E-3</v>
      </c>
      <c r="Y86" s="266">
        <f t="shared" si="12"/>
        <v>0</v>
      </c>
    </row>
    <row r="87" spans="1:26" ht="18" customHeight="1" x14ac:dyDescent="0.25">
      <c r="A87" s="896" t="s">
        <v>105</v>
      </c>
      <c r="B87" s="896"/>
      <c r="C87" s="896"/>
      <c r="D87" s="896"/>
      <c r="E87" s="896"/>
      <c r="F87" s="248" t="s">
        <v>84</v>
      </c>
      <c r="G87" s="139">
        <v>0</v>
      </c>
      <c r="H87" s="223" t="s">
        <v>81</v>
      </c>
      <c r="I87" s="41">
        <f>I54</f>
        <v>2.0990000000000002E-3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210.83340000000001</v>
      </c>
      <c r="C90" s="245"/>
      <c r="D90" s="867">
        <f>I6</f>
        <v>1.0355000000000001</v>
      </c>
      <c r="E90" s="867"/>
      <c r="F90" s="867"/>
      <c r="G90" s="122">
        <f>'[1]Detail 2025-26 FEFP Second'!AB3</f>
        <v>958.42</v>
      </c>
      <c r="H90" s="47" t="s">
        <v>68</v>
      </c>
      <c r="I90" s="727">
        <f>ROUND(B90*D90*G90,2)</f>
        <v>209240.32000000001</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270.36040000000003</v>
      </c>
      <c r="C91" s="245"/>
      <c r="D91" s="867">
        <f>I6</f>
        <v>1.0355000000000001</v>
      </c>
      <c r="E91" s="867"/>
      <c r="F91" s="867"/>
      <c r="G91" s="122">
        <f>'[1]Detail 2025-26 FEFP Second'!AC3</f>
        <v>915.09</v>
      </c>
      <c r="H91" s="47" t="s">
        <v>68</v>
      </c>
      <c r="I91" s="727">
        <f>ROUND(B91*D91*G91,2)</f>
        <v>256186.94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481.19380000000001</v>
      </c>
      <c r="C93" s="109"/>
      <c r="D93" s="109"/>
      <c r="E93" s="937" t="s">
        <v>112</v>
      </c>
      <c r="F93" s="937"/>
      <c r="G93" s="937"/>
      <c r="H93" s="937"/>
      <c r="I93" s="937"/>
      <c r="J93" s="127">
        <f>IF(A1=75,0,I92+I91+I90)</f>
        <v>465427.26</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3959687.56</v>
      </c>
      <c r="L107" s="576"/>
      <c r="R107" s="860" t="s">
        <v>125</v>
      </c>
      <c r="S107" s="860"/>
      <c r="T107" s="860"/>
      <c r="U107" s="860"/>
      <c r="V107" s="860"/>
      <c r="W107" s="860"/>
      <c r="X107" s="860"/>
      <c r="Y107" s="219">
        <f>SUM(Y106,Y105,Y97,Y96,Y93,Y86,Y85,Y84,Y70,Y69,Y67,Y33,Y71,Y50,Y87,Y83)</f>
        <v>564783</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3763793.83</v>
      </c>
      <c r="R109" s="170" t="s">
        <v>180</v>
      </c>
      <c r="S109" s="170"/>
      <c r="T109" s="170"/>
      <c r="U109" s="170"/>
      <c r="V109" s="170"/>
      <c r="W109" s="170"/>
      <c r="X109" s="170"/>
      <c r="Y109" s="220">
        <f>Y107-Y38</f>
        <v>564783</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564783</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3763793.83</v>
      </c>
      <c r="J114" s="296">
        <f>ROUND(IF(E28=0,0,IF(E28&gt;250,-(((250/E28)*I114)*IF(H114="H",0.02,0.05)),IF(H114="H",-0.02*I114,-0.05*I114))),2)</f>
        <v>-104096.43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3855591.13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Payments'!R109</f>
        <v>-1935620.1799999997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1919970.9500000002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319995.15999999997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84093.26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85" workbookViewId="0">
      <selection activeCell="L56" sqref="L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471</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Boca Middle School - 4041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Second'!$C$1:$C$65536,MATCH('4041'!$A$1,'[1]Detail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36.9</v>
      </c>
      <c r="D14" s="415">
        <v>36.4</v>
      </c>
      <c r="E14" s="965">
        <f t="shared" si="0"/>
        <v>73.3</v>
      </c>
      <c r="F14" s="965"/>
      <c r="G14" s="966">
        <v>1</v>
      </c>
      <c r="H14" s="966"/>
      <c r="I14" s="578">
        <f t="shared" si="2"/>
        <v>73.3</v>
      </c>
      <c r="J14" s="579">
        <f>ROUND(ROUND(ROUND(I14*$E$6,4)*($I$6),2)*(MAX($I$7,1)),2)</f>
        <v>407791.89</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9.3800000000000008</v>
      </c>
      <c r="D15" s="415">
        <v>9.3699999999999992</v>
      </c>
      <c r="E15" s="965">
        <f t="shared" si="0"/>
        <v>18.75</v>
      </c>
      <c r="F15" s="965"/>
      <c r="G15" s="966">
        <v>1</v>
      </c>
      <c r="H15" s="966"/>
      <c r="I15" s="578">
        <f t="shared" si="2"/>
        <v>18.75</v>
      </c>
      <c r="J15" s="579">
        <f t="shared" si="1"/>
        <v>104312.39</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1</v>
      </c>
      <c r="D25" s="415">
        <v>1.41</v>
      </c>
      <c r="E25" s="965">
        <f t="shared" si="0"/>
        <v>2.41</v>
      </c>
      <c r="F25" s="965"/>
      <c r="G25" s="966">
        <v>1.165</v>
      </c>
      <c r="H25" s="966"/>
      <c r="I25" s="578">
        <f t="shared" si="2"/>
        <v>2.8077000000000001</v>
      </c>
      <c r="J25" s="579">
        <f t="shared" si="1"/>
        <v>15620.15</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47.28</v>
      </c>
      <c r="D28" s="126">
        <f>SUM(D12:D27)</f>
        <v>47.179999999999993</v>
      </c>
      <c r="E28" s="964">
        <f>SUM(E12:E27)</f>
        <v>94.46</v>
      </c>
      <c r="F28" s="964"/>
      <c r="G28" s="959"/>
      <c r="H28" s="959"/>
      <c r="I28" s="23">
        <f>SUM(I12:I27)</f>
        <v>94.857699999999994</v>
      </c>
      <c r="J28" s="127">
        <f>SUM(J12:J27)</f>
        <v>527724.43000000005</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94.857699999999994</v>
      </c>
      <c r="H33" s="959" t="s">
        <v>45</v>
      </c>
      <c r="I33" s="959"/>
      <c r="J33" s="32">
        <f>SUM(J32,J28)</f>
        <v>527724.43000000005</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528682.99</v>
      </c>
      <c r="H36" s="223" t="s">
        <v>49</v>
      </c>
      <c r="I36" s="38">
        <v>6.6699999999999995E-2</v>
      </c>
      <c r="J36" s="131">
        <f>ROUND(G36*I36,2)</f>
        <v>35263.160000000003</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528682.99</v>
      </c>
      <c r="H37" s="223" t="s">
        <v>49</v>
      </c>
      <c r="I37" s="38">
        <v>5.4000000000000003E-3</v>
      </c>
      <c r="J37" s="131">
        <f>ROUND(G37*I37,2)</f>
        <v>2854.89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38118.050000000003</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727"/>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8.8800000000000008</v>
      </c>
      <c r="D44" s="415">
        <v>8.8699999999999992</v>
      </c>
      <c r="E44" s="952">
        <f t="shared" si="7"/>
        <v>17.75</v>
      </c>
      <c r="F44" s="952"/>
      <c r="G44" s="47" t="s">
        <v>60</v>
      </c>
      <c r="H44" s="223">
        <v>251</v>
      </c>
      <c r="I44" s="136">
        <f>INDEX('[1]111-112-113 ADDITIONAL FUND'!G$1:G$65536,MATCH($A$1,'[1]111-112-113 ADDITIONAL FUND'!A$1:A$65536))</f>
        <v>1173</v>
      </c>
      <c r="J44" s="727">
        <f t="shared" si="8"/>
        <v>20820.75</v>
      </c>
      <c r="L44" s="3"/>
      <c r="M44" s="2"/>
      <c r="Q44" s="4"/>
      <c r="R44" s="901"/>
      <c r="S44" s="901"/>
      <c r="T44" s="903"/>
      <c r="U44" s="903"/>
      <c r="V44" s="182" t="s">
        <v>60</v>
      </c>
      <c r="W44" s="239">
        <v>251</v>
      </c>
      <c r="X44" s="134">
        <f t="shared" si="9"/>
        <v>1173</v>
      </c>
      <c r="Y44" s="269">
        <f t="shared" si="10"/>
        <v>0</v>
      </c>
    </row>
    <row r="45" spans="1:25" x14ac:dyDescent="0.25">
      <c r="A45" s="958"/>
      <c r="B45" s="958"/>
      <c r="C45" s="415">
        <v>0.5</v>
      </c>
      <c r="D45" s="415">
        <v>0.5</v>
      </c>
      <c r="E45" s="952">
        <f t="shared" si="7"/>
        <v>1</v>
      </c>
      <c r="F45" s="952"/>
      <c r="G45" s="47" t="s">
        <v>60</v>
      </c>
      <c r="H45" s="223">
        <v>252</v>
      </c>
      <c r="I45" s="136">
        <f>INDEX('[1]111-112-113 ADDITIONAL FUND'!H$1:H$65536,MATCH($A$1,'[1]111-112-113 ADDITIONAL FUND'!A$1:A$65536))</f>
        <v>3506</v>
      </c>
      <c r="J45" s="727">
        <f t="shared" si="8"/>
        <v>3506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9.3800000000000008</v>
      </c>
      <c r="D50" s="585">
        <f>SUM(D41:D49)</f>
        <v>9.3699999999999992</v>
      </c>
      <c r="E50" s="954">
        <f>SUM(E41:E49)</f>
        <v>18.75</v>
      </c>
      <c r="F50" s="954"/>
      <c r="G50" s="910" t="s">
        <v>63</v>
      </c>
      <c r="H50" s="910"/>
      <c r="I50" s="910"/>
      <c r="J50" s="276">
        <f>SUM(J41:J49)</f>
        <v>24326.75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94.46</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4.3899999999999999E-4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94.857699999999994</v>
      </c>
      <c r="U55" s="184" t="s">
        <v>66</v>
      </c>
      <c r="V55" s="185"/>
      <c r="W55" s="186" t="s">
        <v>71</v>
      </c>
      <c r="X55" s="917">
        <f>I56</f>
        <v>229051.25000000003</v>
      </c>
      <c r="Y55" s="917"/>
    </row>
    <row r="56" spans="1:25" ht="16.5" customHeight="1" x14ac:dyDescent="0.25">
      <c r="A56" s="897" t="s">
        <v>70</v>
      </c>
      <c r="B56" s="897"/>
      <c r="C56" s="237"/>
      <c r="D56" s="237"/>
      <c r="E56" s="48">
        <f>G33</f>
        <v>94.857699999999994</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4.1399999999999998E-4</v>
      </c>
      <c r="Y56" s="918"/>
    </row>
    <row r="57" spans="1:25" ht="18.75" customHeight="1" x14ac:dyDescent="0.25">
      <c r="A57" s="237"/>
      <c r="H57" s="53" t="s">
        <v>68</v>
      </c>
      <c r="I57" s="943">
        <f>IFERROR(ROUND(E56/I56,6),0)</f>
        <v>4.1399999999999998E-4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94.46</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5.0699999999999996E-4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94.46</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4.3899999999999999E-4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94.46</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5.0799999999999999E-4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4.3899999999999999E-4</v>
      </c>
      <c r="J68" s="138">
        <f>ROUND(G68*I68,2)</f>
        <v>20760.64</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4.3899999999999999E-4</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5.0799999999999999E-4</v>
      </c>
      <c r="J71" s="138">
        <f>ROUND(G71*I71,2)</f>
        <v>9737.2800000000007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5.0699999999999996E-4</v>
      </c>
      <c r="J72" s="138">
        <f>ROUND(G72*I72,2)</f>
        <v>5854.27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4.1399999999999998E-4</v>
      </c>
      <c r="J85" s="138">
        <f>ROUND(G85*I85,2)</f>
        <v>111289.94</v>
      </c>
      <c r="K85" s="70"/>
      <c r="L85" s="70"/>
      <c r="M85" s="71"/>
      <c r="N85" s="70"/>
      <c r="O85" s="70"/>
      <c r="P85" s="70"/>
      <c r="Q85" s="70"/>
      <c r="R85" s="860" t="s">
        <v>172</v>
      </c>
      <c r="S85" s="860"/>
      <c r="T85" s="860"/>
      <c r="U85" s="253"/>
      <c r="V85" s="171">
        <f>G85</f>
        <v>268816278</v>
      </c>
      <c r="W85" s="239" t="s">
        <v>81</v>
      </c>
      <c r="X85" s="176">
        <f>X56</f>
        <v>4.1399999999999998E-4</v>
      </c>
      <c r="Y85" s="266">
        <f t="shared" ref="Y85:Y87" si="12">ROUND(V85*X85,2)</f>
        <v>111289.94</v>
      </c>
    </row>
    <row r="86" spans="1:26" ht="14.25" customHeight="1" x14ac:dyDescent="0.25">
      <c r="A86" s="896" t="s">
        <v>104</v>
      </c>
      <c r="B86" s="896"/>
      <c r="C86" s="896"/>
      <c r="D86" s="896"/>
      <c r="E86" s="896"/>
      <c r="F86" s="248" t="s">
        <v>103</v>
      </c>
      <c r="G86" s="139">
        <v>0</v>
      </c>
      <c r="H86" s="223" t="s">
        <v>81</v>
      </c>
      <c r="I86" s="41">
        <f>I57</f>
        <v>4.1399999999999998E-4</v>
      </c>
      <c r="J86" s="138">
        <f>ROUND(G86*I86,2)</f>
        <v>0</v>
      </c>
      <c r="K86" s="70"/>
      <c r="L86" s="71"/>
      <c r="M86" s="76"/>
      <c r="N86" s="76"/>
      <c r="O86" s="76"/>
      <c r="P86" s="76"/>
      <c r="Q86" s="70"/>
      <c r="R86" s="860" t="s">
        <v>173</v>
      </c>
      <c r="S86" s="860"/>
      <c r="T86" s="860"/>
      <c r="U86" s="253"/>
      <c r="V86" s="203">
        <f>G86</f>
        <v>0</v>
      </c>
      <c r="W86" s="239" t="s">
        <v>81</v>
      </c>
      <c r="X86" s="176">
        <f>X56</f>
        <v>4.1399999999999998E-4</v>
      </c>
      <c r="Y86" s="266">
        <f t="shared" si="12"/>
        <v>0</v>
      </c>
    </row>
    <row r="87" spans="1:26" ht="18" customHeight="1" x14ac:dyDescent="0.25">
      <c r="A87" s="896" t="s">
        <v>105</v>
      </c>
      <c r="B87" s="896"/>
      <c r="C87" s="896"/>
      <c r="D87" s="896"/>
      <c r="E87" s="896"/>
      <c r="F87" s="248" t="s">
        <v>84</v>
      </c>
      <c r="G87" s="139">
        <v>0</v>
      </c>
      <c r="H87" s="223" t="s">
        <v>81</v>
      </c>
      <c r="I87" s="41">
        <f>I54</f>
        <v>4.3899999999999999E-4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94.857699999999994</v>
      </c>
      <c r="C91" s="245"/>
      <c r="D91" s="867">
        <f>I6</f>
        <v>1.0355000000000001</v>
      </c>
      <c r="E91" s="867"/>
      <c r="F91" s="867"/>
      <c r="G91" s="122">
        <f>'[1]Detail 2025-26 FEFP Second'!AC3</f>
        <v>915.09</v>
      </c>
      <c r="H91" s="47" t="s">
        <v>68</v>
      </c>
      <c r="I91" s="140">
        <f>ROUND(B91*D91*G91,2)</f>
        <v>89884.85</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94.857699999999994</v>
      </c>
      <c r="C93" s="109"/>
      <c r="D93" s="109"/>
      <c r="E93" s="937" t="s">
        <v>112</v>
      </c>
      <c r="F93" s="937"/>
      <c r="G93" s="937"/>
      <c r="H93" s="937"/>
      <c r="I93" s="937"/>
      <c r="J93" s="127">
        <f>IF(A1=75,0,I92+I91+I90)</f>
        <v>89884.85</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789578.16000000015</v>
      </c>
      <c r="L107" s="576"/>
      <c r="R107" s="860" t="s">
        <v>125</v>
      </c>
      <c r="S107" s="860"/>
      <c r="T107" s="860"/>
      <c r="U107" s="860"/>
      <c r="V107" s="860"/>
      <c r="W107" s="860"/>
      <c r="X107" s="860"/>
      <c r="Y107" s="219">
        <f>SUM(Y106,Y105,Y97,Y96,Y93,Y86,Y85,Y84,Y70,Y69,Y67,Y33,Y71,Y50,Y87,Y83)</f>
        <v>111289.94</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751460.1100000001</v>
      </c>
      <c r="R109" s="170" t="s">
        <v>180</v>
      </c>
      <c r="S109" s="170"/>
      <c r="T109" s="170"/>
      <c r="U109" s="170"/>
      <c r="V109" s="170"/>
      <c r="W109" s="170"/>
      <c r="X109" s="170"/>
      <c r="Y109" s="220">
        <f>Y107-Y38</f>
        <v>111289.94</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111289.94</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751460.1100000001</v>
      </c>
      <c r="J114" s="296">
        <f>ROUND(IF(E28=0,0,IF(E28&gt;250,-(((250/E28)*I114)*IF(H114="H",0.02,0.05)),IF(H114="H",-0.02*I114,-0.05*I114))),2)</f>
        <v>-15029.2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774548.9600000002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Payments'!R110</f>
        <v>-386869.08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387679.88000000018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64613.31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82" workbookViewId="0">
      <selection activeCell="L50" sqref="L5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472</v>
      </c>
      <c r="B2" s="102"/>
      <c r="C2" s="102"/>
      <c r="D2" s="102"/>
      <c r="E2" s="100"/>
      <c r="F2" s="100"/>
      <c r="G2" s="100"/>
      <c r="H2" s="100"/>
      <c r="I2" s="100"/>
      <c r="J2" s="100"/>
      <c r="K2" s="6"/>
      <c r="L2" s="6"/>
      <c r="M2" s="6"/>
      <c r="N2" s="6"/>
      <c r="O2" s="6"/>
      <c r="P2" s="6"/>
      <c r="Q2" s="6"/>
      <c r="R2" s="873" t="str">
        <f>Revenue_Estimate_Worksheet_for___________Charter_School</f>
        <v>Revenue Estimate Worksheet: Renaissance Charter School at Cypress - 4050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Second'!$C$1:$C$65536,MATCH('4050'!$A$1,'[1]Detail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136.15</v>
      </c>
      <c r="D12" s="411">
        <v>133.69</v>
      </c>
      <c r="E12" s="979">
        <f t="shared" ref="E12:E27" si="0">IF($D$28=0,C12*2,C12+D12)</f>
        <v>269.84000000000003</v>
      </c>
      <c r="F12" s="979"/>
      <c r="G12" s="980">
        <v>1.1080000000000001</v>
      </c>
      <c r="H12" s="980"/>
      <c r="I12" s="578">
        <f>ROUND(E12*G12,4)</f>
        <v>298.98270000000002</v>
      </c>
      <c r="J12" s="579">
        <f t="shared" ref="J12:J27" si="1">ROUND(ROUND(ROUND(I12*$E$6,4)*($I$6),2)*(MAX($I$7,1)),2)</f>
        <v>1663338.62</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10.45</v>
      </c>
      <c r="D13" s="415">
        <v>11.13</v>
      </c>
      <c r="E13" s="965">
        <f t="shared" si="0"/>
        <v>21.58</v>
      </c>
      <c r="F13" s="965"/>
      <c r="G13" s="966">
        <v>1.1080000000000001</v>
      </c>
      <c r="H13" s="966"/>
      <c r="I13" s="578">
        <f t="shared" ref="I13:I27" si="2">ROUND(E13*G13,4)</f>
        <v>23.910599999999999</v>
      </c>
      <c r="J13" s="579">
        <f t="shared" si="1"/>
        <v>133022.49</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154.33000000000001</v>
      </c>
      <c r="D14" s="415">
        <v>153.5</v>
      </c>
      <c r="E14" s="965">
        <f t="shared" si="0"/>
        <v>307.83000000000004</v>
      </c>
      <c r="F14" s="965"/>
      <c r="G14" s="966">
        <v>1</v>
      </c>
      <c r="H14" s="966"/>
      <c r="I14" s="578">
        <f t="shared" si="2"/>
        <v>307.83</v>
      </c>
      <c r="J14" s="579">
        <f>ROUND(ROUND(ROUND(I14*$E$6,4)*($I$6),2)*(MAX($I$7,1)),2)</f>
        <v>1712559.04</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21</v>
      </c>
      <c r="D15" s="415">
        <v>21.49</v>
      </c>
      <c r="E15" s="965">
        <f t="shared" si="0"/>
        <v>42.489999999999995</v>
      </c>
      <c r="F15" s="965"/>
      <c r="G15" s="966">
        <v>1</v>
      </c>
      <c r="H15" s="966"/>
      <c r="I15" s="578">
        <f t="shared" si="2"/>
        <v>42.49</v>
      </c>
      <c r="J15" s="579">
        <f t="shared" si="1"/>
        <v>236385.78</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20.58</v>
      </c>
      <c r="D24" s="415">
        <v>18.739999999999998</v>
      </c>
      <c r="E24" s="965">
        <f t="shared" si="0"/>
        <v>39.319999999999993</v>
      </c>
      <c r="F24" s="965"/>
      <c r="G24" s="966">
        <v>1.165</v>
      </c>
      <c r="H24" s="966"/>
      <c r="I24" s="578">
        <f t="shared" si="2"/>
        <v>45.8078</v>
      </c>
      <c r="J24" s="579">
        <f t="shared" si="1"/>
        <v>254843.78</v>
      </c>
      <c r="M24" s="2"/>
      <c r="R24" s="858" t="s">
        <v>32</v>
      </c>
      <c r="S24" s="858"/>
      <c r="T24" s="889">
        <f t="shared" si="3"/>
        <v>0</v>
      </c>
      <c r="U24" s="889"/>
      <c r="V24" s="894">
        <v>1</v>
      </c>
      <c r="W24" s="894"/>
      <c r="X24" s="156">
        <f t="shared" si="4"/>
        <v>0</v>
      </c>
      <c r="Y24" s="266">
        <f t="shared" si="6"/>
        <v>0</v>
      </c>
    </row>
    <row r="25" spans="1:25" x14ac:dyDescent="0.25">
      <c r="A25" s="859" t="s">
        <v>33</v>
      </c>
      <c r="B25" s="859"/>
      <c r="C25" s="415">
        <v>19.73</v>
      </c>
      <c r="D25" s="415">
        <v>17.97</v>
      </c>
      <c r="E25" s="965">
        <f t="shared" si="0"/>
        <v>37.700000000000003</v>
      </c>
      <c r="F25" s="965"/>
      <c r="G25" s="966">
        <v>1.165</v>
      </c>
      <c r="H25" s="966"/>
      <c r="I25" s="578">
        <f t="shared" si="2"/>
        <v>43.920499999999997</v>
      </c>
      <c r="J25" s="579">
        <f t="shared" si="1"/>
        <v>244344.12</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362.24</v>
      </c>
      <c r="D28" s="126">
        <f>SUM(D12:D27)</f>
        <v>356.52</v>
      </c>
      <c r="E28" s="964">
        <f>SUM(E12:E27)</f>
        <v>718.76</v>
      </c>
      <c r="F28" s="964"/>
      <c r="G28" s="959"/>
      <c r="H28" s="959"/>
      <c r="I28" s="23">
        <f>SUM(I12:I27)</f>
        <v>762.94159999999999</v>
      </c>
      <c r="J28" s="127">
        <f>SUM(J12:J27)</f>
        <v>4244493.83</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762.94159999999999</v>
      </c>
      <c r="H33" s="959" t="s">
        <v>45</v>
      </c>
      <c r="I33" s="959"/>
      <c r="J33" s="32">
        <f>SUM(J32,J28)</f>
        <v>4244493.83</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4297632.51</v>
      </c>
      <c r="H36" s="223" t="s">
        <v>49</v>
      </c>
      <c r="I36" s="38">
        <v>6.6699999999999995E-2</v>
      </c>
      <c r="J36" s="131">
        <f>ROUND(G36*I36,2)</f>
        <v>286652.09000000003</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4297632.51</v>
      </c>
      <c r="H37" s="223" t="s">
        <v>49</v>
      </c>
      <c r="I37" s="38">
        <v>5.4000000000000003E-3</v>
      </c>
      <c r="J37" s="131">
        <f>ROUND(G37*I37,2)</f>
        <v>23207.22</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309859.31000000006</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6.96</v>
      </c>
      <c r="D41" s="415">
        <v>7.42</v>
      </c>
      <c r="E41" s="952">
        <f t="shared" ref="E41:E49" si="7">IF($D$50=0,C41*2,C41+D41)</f>
        <v>14.379999999999999</v>
      </c>
      <c r="F41" s="952"/>
      <c r="G41" s="223" t="s">
        <v>59</v>
      </c>
      <c r="H41" s="223">
        <v>251</v>
      </c>
      <c r="I41" s="136">
        <f>INDEX('[1]111-112-113 ADDITIONAL FUND'!D$1:D$65536,MATCH($A$1,'[1]111-112-113 ADDITIONAL FUND'!A$1:A$65536))</f>
        <v>1047</v>
      </c>
      <c r="J41" s="46">
        <f t="shared" ref="J41:J49" si="8">ROUND(E41*I41,2)</f>
        <v>15055.86</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2.99</v>
      </c>
      <c r="D42" s="415">
        <v>3.18</v>
      </c>
      <c r="E42" s="952">
        <f t="shared" si="7"/>
        <v>6.17</v>
      </c>
      <c r="F42" s="952"/>
      <c r="G42" s="223" t="s">
        <v>59</v>
      </c>
      <c r="H42" s="223">
        <v>252</v>
      </c>
      <c r="I42" s="136">
        <f>INDEX('[1]111-112-113 ADDITIONAL FUND'!E$1:E$65536,MATCH($A$1,'[1]111-112-113 ADDITIONAL FUND'!A$1:A$65536))</f>
        <v>3380</v>
      </c>
      <c r="J42" s="46">
        <f t="shared" si="8"/>
        <v>20854.599999999999</v>
      </c>
      <c r="M42" s="2"/>
      <c r="R42" s="901"/>
      <c r="S42" s="901"/>
      <c r="T42" s="902"/>
      <c r="U42" s="902"/>
      <c r="V42" s="239" t="s">
        <v>59</v>
      </c>
      <c r="W42" s="239">
        <v>252</v>
      </c>
      <c r="X42" s="134">
        <f t="shared" si="9"/>
        <v>3380</v>
      </c>
      <c r="Y42" s="269">
        <f t="shared" ref="Y42:Y49" si="10">ROUND(T42*X42,2)</f>
        <v>0</v>
      </c>
    </row>
    <row r="43" spans="1:25" x14ac:dyDescent="0.25">
      <c r="A43" s="958"/>
      <c r="B43" s="958"/>
      <c r="C43" s="415">
        <v>0.5</v>
      </c>
      <c r="D43" s="415">
        <v>0.53</v>
      </c>
      <c r="E43" s="952">
        <f t="shared" si="7"/>
        <v>1.03</v>
      </c>
      <c r="F43" s="952"/>
      <c r="G43" s="223" t="s">
        <v>59</v>
      </c>
      <c r="H43" s="223">
        <v>253</v>
      </c>
      <c r="I43" s="136">
        <f>INDEX('[1]111-112-113 ADDITIONAL FUND'!F$1:F$65536,MATCH($A$1,'[1]111-112-113 ADDITIONAL FUND'!A$1:A$65536))</f>
        <v>6896</v>
      </c>
      <c r="J43" s="46">
        <f t="shared" si="8"/>
        <v>7102.88</v>
      </c>
      <c r="M43" s="2"/>
      <c r="R43" s="901"/>
      <c r="S43" s="901"/>
      <c r="T43" s="903"/>
      <c r="U43" s="903"/>
      <c r="V43" s="239" t="s">
        <v>59</v>
      </c>
      <c r="W43" s="239">
        <v>253</v>
      </c>
      <c r="X43" s="134">
        <f t="shared" si="9"/>
        <v>6896</v>
      </c>
      <c r="Y43" s="269">
        <f t="shared" si="10"/>
        <v>0</v>
      </c>
    </row>
    <row r="44" spans="1:25" ht="20.25" customHeight="1" x14ac:dyDescent="0.25">
      <c r="A44" s="958"/>
      <c r="B44" s="958"/>
      <c r="C44" s="415">
        <v>19.5</v>
      </c>
      <c r="D44" s="415">
        <v>19.95</v>
      </c>
      <c r="E44" s="952">
        <f t="shared" si="7"/>
        <v>39.450000000000003</v>
      </c>
      <c r="F44" s="952"/>
      <c r="G44" s="47" t="s">
        <v>60</v>
      </c>
      <c r="H44" s="223">
        <v>251</v>
      </c>
      <c r="I44" s="136">
        <f>INDEX('[1]111-112-113 ADDITIONAL FUND'!G$1:G$65536,MATCH($A$1,'[1]111-112-113 ADDITIONAL FUND'!A$1:A$65536))</f>
        <v>1173</v>
      </c>
      <c r="J44" s="137">
        <f t="shared" si="8"/>
        <v>46274.85</v>
      </c>
      <c r="L44" s="3"/>
      <c r="M44" s="2"/>
      <c r="Q44" s="4"/>
      <c r="R44" s="901"/>
      <c r="S44" s="901"/>
      <c r="T44" s="903"/>
      <c r="U44" s="903"/>
      <c r="V44" s="182" t="s">
        <v>60</v>
      </c>
      <c r="W44" s="239">
        <v>251</v>
      </c>
      <c r="X44" s="134">
        <f t="shared" si="9"/>
        <v>1173</v>
      </c>
      <c r="Y44" s="269">
        <f t="shared" si="10"/>
        <v>0</v>
      </c>
    </row>
    <row r="45" spans="1:25" x14ac:dyDescent="0.25">
      <c r="A45" s="958"/>
      <c r="B45" s="958"/>
      <c r="C45" s="415">
        <v>1.5</v>
      </c>
      <c r="D45" s="415">
        <v>1.54</v>
      </c>
      <c r="E45" s="952">
        <f t="shared" si="7"/>
        <v>3.04</v>
      </c>
      <c r="F45" s="952"/>
      <c r="G45" s="47" t="s">
        <v>60</v>
      </c>
      <c r="H45" s="223">
        <v>252</v>
      </c>
      <c r="I45" s="136">
        <f>INDEX('[1]111-112-113 ADDITIONAL FUND'!H$1:H$65536,MATCH($A$1,'[1]111-112-113 ADDITIONAL FUND'!A$1:A$65536))</f>
        <v>3506</v>
      </c>
      <c r="J45" s="46">
        <f t="shared" si="8"/>
        <v>10658.24</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31.45</v>
      </c>
      <c r="D50" s="585">
        <f>SUM(D41:D49)</f>
        <v>32.619999999999997</v>
      </c>
      <c r="E50" s="954">
        <f>SUM(E41:E49)</f>
        <v>64.070000000000007</v>
      </c>
      <c r="F50" s="954"/>
      <c r="G50" s="910" t="s">
        <v>63</v>
      </c>
      <c r="H50" s="910"/>
      <c r="I50" s="910"/>
      <c r="J50" s="276">
        <f>SUM(J41:J49)</f>
        <v>99946.430000000008</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718.76</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3.3379999999999998E-3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762.94159999999999</v>
      </c>
      <c r="U55" s="184" t="s">
        <v>66</v>
      </c>
      <c r="V55" s="185"/>
      <c r="W55" s="186" t="s">
        <v>71</v>
      </c>
      <c r="X55" s="917">
        <f>I56</f>
        <v>229051.25000000003</v>
      </c>
      <c r="Y55" s="917"/>
    </row>
    <row r="56" spans="1:25" ht="16.5" customHeight="1" x14ac:dyDescent="0.25">
      <c r="A56" s="897" t="s">
        <v>70</v>
      </c>
      <c r="B56" s="897"/>
      <c r="C56" s="237"/>
      <c r="D56" s="237"/>
      <c r="E56" s="48">
        <f>G33</f>
        <v>762.94159999999999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3.3310000000000002E-3</v>
      </c>
      <c r="Y56" s="918"/>
    </row>
    <row r="57" spans="1:25" ht="18.75" customHeight="1" x14ac:dyDescent="0.25">
      <c r="A57" s="237"/>
      <c r="H57" s="53" t="s">
        <v>68</v>
      </c>
      <c r="I57" s="943">
        <f>IFERROR(ROUND(E56/I56,6),0)</f>
        <v>3.3310000000000002E-3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718.76</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3.8609999999999998E-3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718.76</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3.3430000000000001E-3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718.76</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3.8670000000000002E-3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3.3430000000000001E-3</v>
      </c>
      <c r="J68" s="138">
        <f>ROUND(G68*I68,2)</f>
        <v>158092.97</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3.3379999999999998E-3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3.8670000000000002E-3</v>
      </c>
      <c r="J71" s="138">
        <f>ROUND(G71*I71,2)</f>
        <v>74122.2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3.8609999999999998E-3</v>
      </c>
      <c r="J72" s="138">
        <f>ROUND(G72*I72,2)</f>
        <v>44582.54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3.3310000000000002E-3</v>
      </c>
      <c r="J85" s="138">
        <f>ROUND(G85*I85,2)</f>
        <v>895427.02</v>
      </c>
      <c r="K85" s="70"/>
      <c r="L85" s="70"/>
      <c r="M85" s="71"/>
      <c r="N85" s="70"/>
      <c r="O85" s="70"/>
      <c r="P85" s="70"/>
      <c r="Q85" s="70"/>
      <c r="R85" s="860" t="s">
        <v>172</v>
      </c>
      <c r="S85" s="860"/>
      <c r="T85" s="860"/>
      <c r="U85" s="253"/>
      <c r="V85" s="171">
        <f>G85</f>
        <v>268816278</v>
      </c>
      <c r="W85" s="239" t="s">
        <v>81</v>
      </c>
      <c r="X85" s="176">
        <f>X56</f>
        <v>3.3310000000000002E-3</v>
      </c>
      <c r="Y85" s="266">
        <f t="shared" ref="Y85:Y87" si="12">ROUND(V85*X85,2)</f>
        <v>895427.02</v>
      </c>
    </row>
    <row r="86" spans="1:26" ht="14.25" customHeight="1" x14ac:dyDescent="0.25">
      <c r="A86" s="896" t="s">
        <v>104</v>
      </c>
      <c r="B86" s="896"/>
      <c r="C86" s="896"/>
      <c r="D86" s="896"/>
      <c r="E86" s="896"/>
      <c r="F86" s="248" t="s">
        <v>103</v>
      </c>
      <c r="G86" s="139">
        <v>0</v>
      </c>
      <c r="H86" s="223" t="s">
        <v>81</v>
      </c>
      <c r="I86" s="41">
        <f>I57</f>
        <v>3.3310000000000002E-3</v>
      </c>
      <c r="J86" s="138">
        <f>ROUND(G86*I86,2)</f>
        <v>0</v>
      </c>
      <c r="K86" s="70"/>
      <c r="L86" s="71"/>
      <c r="M86" s="76"/>
      <c r="N86" s="76"/>
      <c r="O86" s="76"/>
      <c r="P86" s="76"/>
      <c r="Q86" s="70"/>
      <c r="R86" s="860" t="s">
        <v>173</v>
      </c>
      <c r="S86" s="860"/>
      <c r="T86" s="860"/>
      <c r="U86" s="253"/>
      <c r="V86" s="203">
        <f>G86</f>
        <v>0</v>
      </c>
      <c r="W86" s="239" t="s">
        <v>81</v>
      </c>
      <c r="X86" s="176">
        <f>X56</f>
        <v>3.3310000000000002E-3</v>
      </c>
      <c r="Y86" s="266">
        <f t="shared" si="12"/>
        <v>0</v>
      </c>
    </row>
    <row r="87" spans="1:26" ht="18" customHeight="1" x14ac:dyDescent="0.25">
      <c r="A87" s="896" t="s">
        <v>105</v>
      </c>
      <c r="B87" s="896"/>
      <c r="C87" s="896"/>
      <c r="D87" s="896"/>
      <c r="E87" s="896"/>
      <c r="F87" s="248" t="s">
        <v>84</v>
      </c>
      <c r="G87" s="139">
        <v>0</v>
      </c>
      <c r="H87" s="223" t="s">
        <v>81</v>
      </c>
      <c r="I87" s="41">
        <f>I54</f>
        <v>3.3379999999999998E-3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368.7011</v>
      </c>
      <c r="C90" s="245"/>
      <c r="D90" s="867">
        <f>I6</f>
        <v>1.0355000000000001</v>
      </c>
      <c r="E90" s="867"/>
      <c r="F90" s="867"/>
      <c r="G90" s="122">
        <f>'[1]Detail 2025-26 FEFP Second'!AB3</f>
        <v>958.42</v>
      </c>
      <c r="H90" s="47" t="s">
        <v>68</v>
      </c>
      <c r="I90" s="727">
        <f>ROUND(B90*D90*G90,2)</f>
        <v>365915.16</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394.2405</v>
      </c>
      <c r="C91" s="245"/>
      <c r="D91" s="867">
        <f>I6</f>
        <v>1.0355000000000001</v>
      </c>
      <c r="E91" s="867"/>
      <c r="F91" s="867"/>
      <c r="G91" s="122">
        <f>'[1]Detail 2025-26 FEFP Second'!AC3</f>
        <v>915.09</v>
      </c>
      <c r="H91" s="47" t="s">
        <v>68</v>
      </c>
      <c r="I91" s="727">
        <f>ROUND(B91*D91*G91,2)</f>
        <v>373572.72</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762.94159999999999</v>
      </c>
      <c r="C93" s="109"/>
      <c r="D93" s="109"/>
      <c r="E93" s="937" t="s">
        <v>112</v>
      </c>
      <c r="F93" s="937"/>
      <c r="G93" s="937"/>
      <c r="H93" s="937"/>
      <c r="I93" s="937"/>
      <c r="J93" s="127">
        <f>IF(A1=75,0,I92+I91+I90)</f>
        <v>739487.87999999989</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6256152.8700000001</v>
      </c>
      <c r="L107" s="576"/>
      <c r="R107" s="860" t="s">
        <v>125</v>
      </c>
      <c r="S107" s="860"/>
      <c r="T107" s="860"/>
      <c r="U107" s="860"/>
      <c r="V107" s="860"/>
      <c r="W107" s="860"/>
      <c r="X107" s="860"/>
      <c r="Y107" s="219">
        <f>SUM(Y106,Y105,Y97,Y96,Y93,Y86,Y85,Y84,Y70,Y69,Y67,Y33,Y71,Y50,Y87,Y83)</f>
        <v>895427.02</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5946293.5600000005</v>
      </c>
      <c r="R109" s="170" t="s">
        <v>180</v>
      </c>
      <c r="S109" s="170"/>
      <c r="T109" s="170"/>
      <c r="U109" s="170"/>
      <c r="V109" s="170"/>
      <c r="W109" s="170"/>
      <c r="X109" s="170"/>
      <c r="Y109" s="220">
        <f>Y107-Y38</f>
        <v>895427.02</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895427.02</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5946293.5600000005</v>
      </c>
      <c r="J114" s="296">
        <f>ROUND(IF(E28=0,0,IF(E28&gt;250,-(((250/E28)*I114)*IF(H114="H",0.02,0.05)),IF(H114="H",-0.02*I114,-0.05*I114))),2)</f>
        <v>-103412.36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6152740.5099999998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Payments'!R111</f>
        <v>-3085240.3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3067500.21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511250.04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193902.32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79" workbookViewId="0">
      <selection activeCell="L51" sqref="L51"/>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558</v>
      </c>
      <c r="B2" s="102"/>
      <c r="C2" s="102"/>
      <c r="D2" s="102"/>
      <c r="E2" s="100"/>
      <c r="F2" s="100"/>
      <c r="G2" s="100"/>
      <c r="H2" s="100"/>
      <c r="I2" s="100"/>
      <c r="J2" s="100"/>
      <c r="K2" s="6"/>
      <c r="L2" s="6"/>
      <c r="M2" s="6"/>
      <c r="N2" s="6"/>
      <c r="O2" s="6"/>
      <c r="P2" s="6"/>
      <c r="Q2" s="6"/>
      <c r="R2" s="873" t="str">
        <f>Revenue_Estimate_Worksheet_for___________Charter_School</f>
        <v>Revenue Estimate Worksheet: Renaissance Charter School at Central Palm- 4051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Second'!$C$1:$C$65536,MATCH('4051'!$A$1,'[1]Detail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138.27000000000001</v>
      </c>
      <c r="D12" s="411">
        <v>128.44</v>
      </c>
      <c r="E12" s="979">
        <f t="shared" ref="E12:E27" si="0">IF($D$28=0,C12*2,C12+D12)</f>
        <v>266.71000000000004</v>
      </c>
      <c r="F12" s="979"/>
      <c r="G12" s="980">
        <v>1.1080000000000001</v>
      </c>
      <c r="H12" s="980"/>
      <c r="I12" s="578">
        <f>ROUND(E12*G12,4)</f>
        <v>295.5147</v>
      </c>
      <c r="J12" s="579">
        <f t="shared" ref="J12:J27" si="1">ROUND(ROUND(ROUND(I12*$E$6,4)*($I$6),2)*(MAX($I$7,1)),2)</f>
        <v>1644045</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13.02</v>
      </c>
      <c r="D13" s="415">
        <v>12.01</v>
      </c>
      <c r="E13" s="965">
        <f t="shared" si="0"/>
        <v>25.03</v>
      </c>
      <c r="F13" s="965"/>
      <c r="G13" s="966">
        <v>1.1080000000000001</v>
      </c>
      <c r="H13" s="966"/>
      <c r="I13" s="578">
        <f t="shared" ref="I13:I27" si="2">ROUND(E13*G13,4)</f>
        <v>27.7332</v>
      </c>
      <c r="J13" s="579">
        <f t="shared" si="1"/>
        <v>154288.87</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148.36000000000001</v>
      </c>
      <c r="D14" s="415">
        <v>152.15</v>
      </c>
      <c r="E14" s="965">
        <f t="shared" si="0"/>
        <v>300.51</v>
      </c>
      <c r="F14" s="965"/>
      <c r="G14" s="966">
        <v>1</v>
      </c>
      <c r="H14" s="966"/>
      <c r="I14" s="578">
        <f t="shared" si="2"/>
        <v>300.51</v>
      </c>
      <c r="J14" s="579">
        <f>ROUND(ROUND(ROUND(I14*$E$6,4)*($I$6),2)*(MAX($I$7,1)),2)</f>
        <v>1671835.49</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26.08</v>
      </c>
      <c r="D15" s="415">
        <v>24.51</v>
      </c>
      <c r="E15" s="965">
        <f t="shared" si="0"/>
        <v>50.59</v>
      </c>
      <c r="F15" s="965"/>
      <c r="G15" s="966">
        <v>1</v>
      </c>
      <c r="H15" s="966"/>
      <c r="I15" s="578">
        <f t="shared" si="2"/>
        <v>50.59</v>
      </c>
      <c r="J15" s="579">
        <f t="shared" si="1"/>
        <v>281448.73</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26.42</v>
      </c>
      <c r="D24" s="415">
        <v>23.4</v>
      </c>
      <c r="E24" s="965">
        <f t="shared" si="0"/>
        <v>49.82</v>
      </c>
      <c r="F24" s="965"/>
      <c r="G24" s="966">
        <v>1.165</v>
      </c>
      <c r="H24" s="966"/>
      <c r="I24" s="578">
        <f t="shared" si="2"/>
        <v>58.040300000000002</v>
      </c>
      <c r="J24" s="579">
        <f t="shared" si="1"/>
        <v>322897.19</v>
      </c>
      <c r="M24" s="2"/>
      <c r="R24" s="858" t="s">
        <v>32</v>
      </c>
      <c r="S24" s="858"/>
      <c r="T24" s="889">
        <f t="shared" si="3"/>
        <v>0</v>
      </c>
      <c r="U24" s="889"/>
      <c r="V24" s="894">
        <v>1</v>
      </c>
      <c r="W24" s="894"/>
      <c r="X24" s="156">
        <f t="shared" si="4"/>
        <v>0</v>
      </c>
      <c r="Y24" s="266">
        <f t="shared" si="6"/>
        <v>0</v>
      </c>
    </row>
    <row r="25" spans="1:25" x14ac:dyDescent="0.25">
      <c r="A25" s="859" t="s">
        <v>33</v>
      </c>
      <c r="B25" s="859"/>
      <c r="C25" s="415">
        <v>30</v>
      </c>
      <c r="D25" s="415">
        <v>26.58</v>
      </c>
      <c r="E25" s="965">
        <f t="shared" si="0"/>
        <v>56.58</v>
      </c>
      <c r="F25" s="965"/>
      <c r="G25" s="966">
        <v>1.165</v>
      </c>
      <c r="H25" s="966"/>
      <c r="I25" s="578">
        <f t="shared" si="2"/>
        <v>65.915700000000001</v>
      </c>
      <c r="J25" s="579">
        <f t="shared" si="1"/>
        <v>366710.61</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382.15000000000003</v>
      </c>
      <c r="D28" s="126">
        <f>SUM(D12:D27)</f>
        <v>367.09</v>
      </c>
      <c r="E28" s="964">
        <f>SUM(E12:E27)</f>
        <v>749.24000000000012</v>
      </c>
      <c r="F28" s="964"/>
      <c r="G28" s="959"/>
      <c r="H28" s="959"/>
      <c r="I28" s="23">
        <f>SUM(I12:I27)</f>
        <v>798.30390000000011</v>
      </c>
      <c r="J28" s="127">
        <f>SUM(J12:J27)</f>
        <v>4441225.8900000006</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798.30390000000011</v>
      </c>
      <c r="H33" s="959" t="s">
        <v>45</v>
      </c>
      <c r="I33" s="959"/>
      <c r="J33" s="32">
        <f>SUM(J32,J28)</f>
        <v>4441225.8900000006</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4529900.3100000005</v>
      </c>
      <c r="H36" s="223" t="s">
        <v>49</v>
      </c>
      <c r="I36" s="38">
        <v>6.6699999999999995E-2</v>
      </c>
      <c r="J36" s="131">
        <f>ROUND(G36*I36,2)</f>
        <v>302144.34999999998</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4529900.3100000005</v>
      </c>
      <c r="H37" s="223" t="s">
        <v>49</v>
      </c>
      <c r="I37" s="38">
        <v>5.4000000000000003E-3</v>
      </c>
      <c r="J37" s="131">
        <f>ROUND(G37*I37,2)</f>
        <v>24461.46</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326605.81</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11.52</v>
      </c>
      <c r="D41" s="415">
        <v>10.62</v>
      </c>
      <c r="E41" s="952">
        <f t="shared" ref="E41:E49" si="7">IF($D$50=0,C41*2,C41+D41)</f>
        <v>22.14</v>
      </c>
      <c r="F41" s="952"/>
      <c r="G41" s="223" t="s">
        <v>59</v>
      </c>
      <c r="H41" s="223">
        <v>251</v>
      </c>
      <c r="I41" s="136">
        <f>INDEX('[1]111-112-113 ADDITIONAL FUND'!D$1:D$65536,MATCH($A$1,'[1]111-112-113 ADDITIONAL FUND'!A$1:A$65536))</f>
        <v>1047</v>
      </c>
      <c r="J41" s="727">
        <f t="shared" ref="J41:J49" si="8">ROUND(E41*I41,2)</f>
        <v>23180.58</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1.5</v>
      </c>
      <c r="D42" s="415">
        <v>1.39</v>
      </c>
      <c r="E42" s="952">
        <f t="shared" si="7"/>
        <v>2.8899999999999997</v>
      </c>
      <c r="F42" s="952"/>
      <c r="G42" s="223" t="s">
        <v>59</v>
      </c>
      <c r="H42" s="223">
        <v>252</v>
      </c>
      <c r="I42" s="136">
        <f>INDEX('[1]111-112-113 ADDITIONAL FUND'!E$1:E$65536,MATCH($A$1,'[1]111-112-113 ADDITIONAL FUND'!A$1:A$65536))</f>
        <v>3380</v>
      </c>
      <c r="J42" s="727">
        <f t="shared" si="8"/>
        <v>9768.2000000000007</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23.07</v>
      </c>
      <c r="D44" s="415">
        <v>21.68</v>
      </c>
      <c r="E44" s="952">
        <f t="shared" si="7"/>
        <v>44.75</v>
      </c>
      <c r="F44" s="952"/>
      <c r="G44" s="47" t="s">
        <v>60</v>
      </c>
      <c r="H44" s="223">
        <v>251</v>
      </c>
      <c r="I44" s="136">
        <f>INDEX('[1]111-112-113 ADDITIONAL FUND'!G$1:G$65536,MATCH($A$1,'[1]111-112-113 ADDITIONAL FUND'!A$1:A$65536))</f>
        <v>1173</v>
      </c>
      <c r="J44" s="727">
        <f t="shared" si="8"/>
        <v>52491.75</v>
      </c>
      <c r="L44" s="3"/>
      <c r="M44" s="2"/>
      <c r="Q44" s="4"/>
      <c r="R44" s="901"/>
      <c r="S44" s="901"/>
      <c r="T44" s="903"/>
      <c r="U44" s="903"/>
      <c r="V44" s="182" t="s">
        <v>60</v>
      </c>
      <c r="W44" s="239">
        <v>251</v>
      </c>
      <c r="X44" s="134">
        <f t="shared" si="9"/>
        <v>1173</v>
      </c>
      <c r="Y44" s="269">
        <f t="shared" si="10"/>
        <v>0</v>
      </c>
    </row>
    <row r="45" spans="1:25" x14ac:dyDescent="0.25">
      <c r="A45" s="958"/>
      <c r="B45" s="958"/>
      <c r="C45" s="415">
        <v>3.01</v>
      </c>
      <c r="D45" s="415">
        <v>2.83</v>
      </c>
      <c r="E45" s="952">
        <f t="shared" si="7"/>
        <v>5.84</v>
      </c>
      <c r="F45" s="952"/>
      <c r="G45" s="47" t="s">
        <v>60</v>
      </c>
      <c r="H45" s="223">
        <v>252</v>
      </c>
      <c r="I45" s="136">
        <f>INDEX('[1]111-112-113 ADDITIONAL FUND'!H$1:H$65536,MATCH($A$1,'[1]111-112-113 ADDITIONAL FUND'!A$1:A$65536))</f>
        <v>3506</v>
      </c>
      <c r="J45" s="727">
        <f t="shared" si="8"/>
        <v>20475.04</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39.1</v>
      </c>
      <c r="D50" s="585">
        <f>SUM(D41:D49)</f>
        <v>36.519999999999996</v>
      </c>
      <c r="E50" s="954">
        <f>SUM(E41:E49)</f>
        <v>75.62</v>
      </c>
      <c r="F50" s="954"/>
      <c r="G50" s="910" t="s">
        <v>63</v>
      </c>
      <c r="H50" s="910"/>
      <c r="I50" s="910"/>
      <c r="J50" s="276">
        <f>SUM(J41:J49)</f>
        <v>105915.57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749.24000000000012</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3.48E-3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798.30390000000011</v>
      </c>
      <c r="U55" s="184" t="s">
        <v>66</v>
      </c>
      <c r="V55" s="185"/>
      <c r="W55" s="186" t="s">
        <v>71</v>
      </c>
      <c r="X55" s="917">
        <f>I56</f>
        <v>229051.25000000003</v>
      </c>
      <c r="Y55" s="917"/>
    </row>
    <row r="56" spans="1:25" ht="16.5" customHeight="1" x14ac:dyDescent="0.25">
      <c r="A56" s="897" t="s">
        <v>70</v>
      </c>
      <c r="B56" s="897"/>
      <c r="C56" s="237"/>
      <c r="D56" s="237"/>
      <c r="E56" s="48">
        <f>G33</f>
        <v>798.30390000000011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3.4849999999999998E-3</v>
      </c>
      <c r="Y56" s="918"/>
    </row>
    <row r="57" spans="1:25" ht="18.75" customHeight="1" x14ac:dyDescent="0.25">
      <c r="A57" s="237"/>
      <c r="H57" s="53" t="s">
        <v>68</v>
      </c>
      <c r="I57" s="943">
        <f>IFERROR(ROUND(E56/I56,6),0)</f>
        <v>3.4849999999999998E-3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749.24000000000012</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4.0249999999999999E-3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749.24000000000012</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3.4849999999999998E-3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749.24000000000012</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4.0309999999999999E-3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3.4849999999999998E-3</v>
      </c>
      <c r="J68" s="138">
        <f>ROUND(G68*I68,2)</f>
        <v>164808.25</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3.48E-3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4.0309999999999999E-3</v>
      </c>
      <c r="J71" s="138">
        <f>ROUND(G71*I71,2)</f>
        <v>77265.73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4.0249999999999999E-3</v>
      </c>
      <c r="J72" s="138">
        <f>ROUND(G72*I72,2)</f>
        <v>46476.23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3.4849999999999998E-3</v>
      </c>
      <c r="J85" s="138">
        <f>ROUND(G85*I85,2)</f>
        <v>936824.73</v>
      </c>
      <c r="K85" s="70"/>
      <c r="L85" s="70"/>
      <c r="M85" s="71"/>
      <c r="N85" s="70"/>
      <c r="O85" s="70"/>
      <c r="P85" s="70"/>
      <c r="Q85" s="70"/>
      <c r="R85" s="860" t="s">
        <v>172</v>
      </c>
      <c r="S85" s="860"/>
      <c r="T85" s="860"/>
      <c r="U85" s="253"/>
      <c r="V85" s="171">
        <f>G85</f>
        <v>268816278</v>
      </c>
      <c r="W85" s="239" t="s">
        <v>81</v>
      </c>
      <c r="X85" s="176">
        <f>X56</f>
        <v>3.4849999999999998E-3</v>
      </c>
      <c r="Y85" s="266">
        <f t="shared" ref="Y85:Y87" si="12">ROUND(V85*X85,2)</f>
        <v>936824.73</v>
      </c>
    </row>
    <row r="86" spans="1:26" ht="14.25" customHeight="1" x14ac:dyDescent="0.25">
      <c r="A86" s="896" t="s">
        <v>104</v>
      </c>
      <c r="B86" s="896"/>
      <c r="C86" s="896"/>
      <c r="D86" s="896"/>
      <c r="E86" s="896"/>
      <c r="F86" s="248" t="s">
        <v>103</v>
      </c>
      <c r="G86" s="139">
        <v>0</v>
      </c>
      <c r="H86" s="223" t="s">
        <v>81</v>
      </c>
      <c r="I86" s="41">
        <f>I57</f>
        <v>3.4849999999999998E-3</v>
      </c>
      <c r="J86" s="138">
        <f>ROUND(G86*I86,2)</f>
        <v>0</v>
      </c>
      <c r="K86" s="70"/>
      <c r="L86" s="71"/>
      <c r="M86" s="76"/>
      <c r="N86" s="76"/>
      <c r="O86" s="76"/>
      <c r="P86" s="76"/>
      <c r="Q86" s="70"/>
      <c r="R86" s="860" t="s">
        <v>173</v>
      </c>
      <c r="S86" s="860"/>
      <c r="T86" s="860"/>
      <c r="U86" s="253"/>
      <c r="V86" s="203">
        <f>G86</f>
        <v>0</v>
      </c>
      <c r="W86" s="239" t="s">
        <v>81</v>
      </c>
      <c r="X86" s="176">
        <f>X56</f>
        <v>3.4849999999999998E-3</v>
      </c>
      <c r="Y86" s="266">
        <f t="shared" si="12"/>
        <v>0</v>
      </c>
    </row>
    <row r="87" spans="1:26" ht="18" customHeight="1" x14ac:dyDescent="0.25">
      <c r="A87" s="896" t="s">
        <v>105</v>
      </c>
      <c r="B87" s="896"/>
      <c r="C87" s="896"/>
      <c r="D87" s="896"/>
      <c r="E87" s="896"/>
      <c r="F87" s="248" t="s">
        <v>84</v>
      </c>
      <c r="G87" s="139">
        <v>0</v>
      </c>
      <c r="H87" s="223" t="s">
        <v>81</v>
      </c>
      <c r="I87" s="41">
        <f>I54</f>
        <v>3.48E-3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381.28820000000002</v>
      </c>
      <c r="C90" s="245"/>
      <c r="D90" s="867">
        <f>I6</f>
        <v>1.0355000000000001</v>
      </c>
      <c r="E90" s="867"/>
      <c r="F90" s="867"/>
      <c r="G90" s="122">
        <f>'[1]Detail 2025-26 FEFP Second'!AB3</f>
        <v>958.42</v>
      </c>
      <c r="H90" s="47" t="s">
        <v>68</v>
      </c>
      <c r="I90" s="141">
        <f>ROUND(B90*D90*G90,2)</f>
        <v>378407.15</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417.01570000000004</v>
      </c>
      <c r="C91" s="245"/>
      <c r="D91" s="867">
        <f>I6</f>
        <v>1.0355000000000001</v>
      </c>
      <c r="E91" s="867"/>
      <c r="F91" s="867"/>
      <c r="G91" s="122">
        <f>'[1]Detail 2025-26 FEFP Second'!AC3</f>
        <v>915.09</v>
      </c>
      <c r="H91" s="47" t="s">
        <v>68</v>
      </c>
      <c r="I91" s="140">
        <f>ROUND(B91*D91*G91,2)</f>
        <v>395153.94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798.30390000000011</v>
      </c>
      <c r="C93" s="109"/>
      <c r="D93" s="109"/>
      <c r="E93" s="937" t="s">
        <v>112</v>
      </c>
      <c r="F93" s="937"/>
      <c r="G93" s="937"/>
      <c r="H93" s="937"/>
      <c r="I93" s="937"/>
      <c r="J93" s="127">
        <f>IF(A1=75,0,I92+I91+I90)</f>
        <v>773561.09000000008</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0</v>
      </c>
      <c r="D97" s="279">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6546077.4900000012</v>
      </c>
      <c r="L107" s="576"/>
      <c r="R107" s="860" t="s">
        <v>125</v>
      </c>
      <c r="S107" s="860"/>
      <c r="T107" s="860"/>
      <c r="U107" s="860"/>
      <c r="V107" s="860"/>
      <c r="W107" s="860"/>
      <c r="X107" s="860"/>
      <c r="Y107" s="219">
        <f>SUM(Y106,Y105,Y97,Y96,Y93,Y86,Y85,Y84,Y70,Y69,Y67,Y33,Y71,Y50,Y87,Y83)</f>
        <v>936824.73</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6219471.6800000016</v>
      </c>
      <c r="R109" s="170" t="s">
        <v>180</v>
      </c>
      <c r="S109" s="170"/>
      <c r="T109" s="170"/>
      <c r="U109" s="170"/>
      <c r="V109" s="170"/>
      <c r="W109" s="170"/>
      <c r="X109" s="170"/>
      <c r="Y109" s="220">
        <f>Y107-Y38</f>
        <v>936824.73</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936824.73</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6219471.6800000016</v>
      </c>
      <c r="J114" s="296">
        <f>ROUND(IF(E28=0,0,IF(E28&gt;250,-(((250/E28)*I114)*IF(H114="H",0.02,0.05)),IF(H114="H",-0.02*I114,-0.05*I114))),2)</f>
        <v>-103763.01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6442314.4800000014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Payments'!R112</f>
        <v>-3239459.3000000007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3202855.1800000006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533809.19999999995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207210.57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90"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473</v>
      </c>
      <c r="B2" s="102"/>
      <c r="C2" s="102"/>
      <c r="D2" s="102"/>
      <c r="E2" s="100"/>
      <c r="F2" s="100"/>
      <c r="G2" s="100"/>
      <c r="H2" s="100"/>
      <c r="I2" s="100"/>
      <c r="J2" s="100"/>
      <c r="K2" s="6"/>
      <c r="L2" s="6"/>
      <c r="M2" s="6"/>
      <c r="N2" s="6"/>
      <c r="O2" s="6"/>
      <c r="P2" s="6"/>
      <c r="Q2" s="6"/>
      <c r="R2" s="873" t="str">
        <f>Revenue_Estimate_Worksheet_for___________Charter_School</f>
        <v>Revenue Estimate Worksheet: Franklin Academy - Palm Beach Gardens - 4061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Second'!$C$1:$C$65536,MATCH('4061'!$A$1,'[1]Detail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177.58</v>
      </c>
      <c r="D12" s="411">
        <v>184.03</v>
      </c>
      <c r="E12" s="979">
        <f t="shared" ref="E12:E27" si="0">IF($D$28=0,C12*2,C12+D12)</f>
        <v>361.61</v>
      </c>
      <c r="F12" s="979"/>
      <c r="G12" s="980">
        <v>1.1080000000000001</v>
      </c>
      <c r="H12" s="980"/>
      <c r="I12" s="578">
        <f>ROUND(E12*G12,4)</f>
        <v>400.66390000000001</v>
      </c>
      <c r="J12" s="579">
        <f t="shared" ref="J12:J27" si="1">ROUND(ROUND(ROUND(I12*$E$6,4)*($I$6),2)*(MAX($I$7,1)),2)</f>
        <v>2229024.41</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14.66</v>
      </c>
      <c r="D13" s="415">
        <v>12.99</v>
      </c>
      <c r="E13" s="965">
        <f t="shared" si="0"/>
        <v>27.65</v>
      </c>
      <c r="F13" s="965"/>
      <c r="G13" s="966">
        <v>1.1080000000000001</v>
      </c>
      <c r="H13" s="966"/>
      <c r="I13" s="578">
        <f t="shared" ref="I13:I27" si="2">ROUND(E13*G13,4)</f>
        <v>30.636199999999999</v>
      </c>
      <c r="J13" s="579">
        <f t="shared" si="1"/>
        <v>170439.21</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227.66</v>
      </c>
      <c r="D14" s="415">
        <v>226.33</v>
      </c>
      <c r="E14" s="965">
        <f t="shared" si="0"/>
        <v>453.99</v>
      </c>
      <c r="F14" s="965"/>
      <c r="G14" s="966">
        <v>1</v>
      </c>
      <c r="H14" s="966"/>
      <c r="I14" s="578">
        <f t="shared" si="2"/>
        <v>453.99</v>
      </c>
      <c r="J14" s="579">
        <f>ROUND(ROUND(ROUND(I14*$E$6,4)*($I$6),2)*(MAX($I$7,1)),2)</f>
        <v>2525694.96</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30.55</v>
      </c>
      <c r="D15" s="415">
        <v>28.95</v>
      </c>
      <c r="E15" s="965">
        <f t="shared" si="0"/>
        <v>59.5</v>
      </c>
      <c r="F15" s="965"/>
      <c r="G15" s="966">
        <v>1</v>
      </c>
      <c r="H15" s="966"/>
      <c r="I15" s="578">
        <f t="shared" si="2"/>
        <v>59.5</v>
      </c>
      <c r="J15" s="579">
        <f t="shared" si="1"/>
        <v>331017.96999999997</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19.309999999999999</v>
      </c>
      <c r="D24" s="415">
        <v>18.96</v>
      </c>
      <c r="E24" s="965">
        <f t="shared" si="0"/>
        <v>38.269999999999996</v>
      </c>
      <c r="F24" s="965"/>
      <c r="G24" s="966">
        <v>1.165</v>
      </c>
      <c r="H24" s="966"/>
      <c r="I24" s="578">
        <f t="shared" si="2"/>
        <v>44.584600000000002</v>
      </c>
      <c r="J24" s="579">
        <f t="shared" si="1"/>
        <v>248038.72</v>
      </c>
      <c r="M24" s="2"/>
      <c r="R24" s="858" t="s">
        <v>32</v>
      </c>
      <c r="S24" s="858"/>
      <c r="T24" s="889">
        <f t="shared" si="3"/>
        <v>0</v>
      </c>
      <c r="U24" s="889"/>
      <c r="V24" s="894">
        <v>1</v>
      </c>
      <c r="W24" s="894"/>
      <c r="X24" s="156">
        <f t="shared" si="4"/>
        <v>0</v>
      </c>
      <c r="Y24" s="266">
        <f t="shared" si="6"/>
        <v>0</v>
      </c>
    </row>
    <row r="25" spans="1:25" x14ac:dyDescent="0.25">
      <c r="A25" s="859" t="s">
        <v>33</v>
      </c>
      <c r="B25" s="859"/>
      <c r="C25" s="415">
        <v>10.9</v>
      </c>
      <c r="D25" s="415">
        <v>10.71</v>
      </c>
      <c r="E25" s="965">
        <f t="shared" si="0"/>
        <v>21.61</v>
      </c>
      <c r="F25" s="965"/>
      <c r="G25" s="966">
        <v>1.165</v>
      </c>
      <c r="H25" s="966"/>
      <c r="I25" s="578">
        <f t="shared" si="2"/>
        <v>25.175699999999999</v>
      </c>
      <c r="J25" s="579">
        <f t="shared" si="1"/>
        <v>140060.66</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480.65999999999997</v>
      </c>
      <c r="D28" s="126">
        <f>SUM(D12:D27)</f>
        <v>481.96999999999997</v>
      </c>
      <c r="E28" s="964">
        <f>SUM(E12:E27)</f>
        <v>962.63</v>
      </c>
      <c r="F28" s="964"/>
      <c r="G28" s="959"/>
      <c r="H28" s="959"/>
      <c r="I28" s="23">
        <f>SUM(I12:I27)</f>
        <v>1014.5504</v>
      </c>
      <c r="J28" s="127">
        <f>SUM(J12:J27)</f>
        <v>5644275.9299999997</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1014.5504</v>
      </c>
      <c r="H33" s="959" t="s">
        <v>45</v>
      </c>
      <c r="I33" s="959"/>
      <c r="J33" s="32">
        <f>SUM(J32,J28)</f>
        <v>5644275.9299999997</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v>5637683.9499999993</v>
      </c>
      <c r="H36" s="223" t="s">
        <v>49</v>
      </c>
      <c r="I36" s="38">
        <v>6.6699999999999995E-2</v>
      </c>
      <c r="J36" s="131">
        <f>ROUND(G36*I36,2)</f>
        <v>376033.52</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v>5637683.9499999993</v>
      </c>
      <c r="H37" s="223" t="s">
        <v>49</v>
      </c>
      <c r="I37" s="38">
        <v>5.4000000000000003E-3</v>
      </c>
      <c r="J37" s="131">
        <f>ROUND(G37*I37,2)</f>
        <v>30443.49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406477.01</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10.11</v>
      </c>
      <c r="D41" s="415">
        <v>8.9600000000000009</v>
      </c>
      <c r="E41" s="952">
        <f t="shared" ref="E41:E49" si="7">IF($D$50=0,C41*2,C41+D41)</f>
        <v>19.07</v>
      </c>
      <c r="F41" s="952"/>
      <c r="G41" s="223" t="s">
        <v>59</v>
      </c>
      <c r="H41" s="223">
        <v>251</v>
      </c>
      <c r="I41" s="136">
        <f>INDEX('[1]111-112-113 ADDITIONAL FUND'!D$1:D$65536,MATCH($A$1,'[1]111-112-113 ADDITIONAL FUND'!A$1:A$65536))</f>
        <v>1047</v>
      </c>
      <c r="J41" s="46">
        <f t="shared" ref="J41:J49" si="8">ROUND(E41*I41,2)</f>
        <v>19966.29</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4.04</v>
      </c>
      <c r="D42" s="415">
        <v>3.58</v>
      </c>
      <c r="E42" s="952">
        <f t="shared" si="7"/>
        <v>7.62</v>
      </c>
      <c r="F42" s="952"/>
      <c r="G42" s="223" t="s">
        <v>59</v>
      </c>
      <c r="H42" s="223">
        <v>252</v>
      </c>
      <c r="I42" s="136">
        <f>INDEX('[1]111-112-113 ADDITIONAL FUND'!E$1:E$65536,MATCH($A$1,'[1]111-112-113 ADDITIONAL FUND'!A$1:A$65536))</f>
        <v>3380</v>
      </c>
      <c r="J42" s="46">
        <f t="shared" si="8"/>
        <v>25755.599999999999</v>
      </c>
      <c r="M42" s="2"/>
      <c r="R42" s="901"/>
      <c r="S42" s="901"/>
      <c r="T42" s="902"/>
      <c r="U42" s="902"/>
      <c r="V42" s="239" t="s">
        <v>59</v>
      </c>
      <c r="W42" s="239">
        <v>252</v>
      </c>
      <c r="X42" s="134">
        <f t="shared" si="9"/>
        <v>3380</v>
      </c>
      <c r="Y42" s="269">
        <f t="shared" ref="Y42:Y49" si="10">ROUND(T42*X42,2)</f>
        <v>0</v>
      </c>
    </row>
    <row r="43" spans="1:25" x14ac:dyDescent="0.25">
      <c r="A43" s="958"/>
      <c r="B43" s="958"/>
      <c r="C43" s="415">
        <v>0.51</v>
      </c>
      <c r="D43" s="415">
        <v>0.45</v>
      </c>
      <c r="E43" s="952">
        <f t="shared" si="7"/>
        <v>0.96</v>
      </c>
      <c r="F43" s="952"/>
      <c r="G43" s="223" t="s">
        <v>59</v>
      </c>
      <c r="H43" s="223">
        <v>253</v>
      </c>
      <c r="I43" s="136">
        <f>INDEX('[1]111-112-113 ADDITIONAL FUND'!F$1:F$65536,MATCH($A$1,'[1]111-112-113 ADDITIONAL FUND'!A$1:A$65536))</f>
        <v>6896</v>
      </c>
      <c r="J43" s="46">
        <f t="shared" si="8"/>
        <v>6620.16</v>
      </c>
      <c r="M43" s="2"/>
      <c r="R43" s="901"/>
      <c r="S43" s="901"/>
      <c r="T43" s="903"/>
      <c r="U43" s="903"/>
      <c r="V43" s="239" t="s">
        <v>59</v>
      </c>
      <c r="W43" s="239">
        <v>253</v>
      </c>
      <c r="X43" s="134">
        <f t="shared" si="9"/>
        <v>6896</v>
      </c>
      <c r="Y43" s="269">
        <f t="shared" si="10"/>
        <v>0</v>
      </c>
    </row>
    <row r="44" spans="1:25" ht="20.25" customHeight="1" x14ac:dyDescent="0.25">
      <c r="A44" s="958"/>
      <c r="B44" s="958"/>
      <c r="C44" s="415">
        <v>21.54</v>
      </c>
      <c r="D44" s="415">
        <v>20.41</v>
      </c>
      <c r="E44" s="952">
        <f t="shared" si="7"/>
        <v>41.95</v>
      </c>
      <c r="F44" s="952"/>
      <c r="G44" s="47" t="s">
        <v>60</v>
      </c>
      <c r="H44" s="223">
        <v>251</v>
      </c>
      <c r="I44" s="136">
        <f>INDEX('[1]111-112-113 ADDITIONAL FUND'!G$1:G$65536,MATCH($A$1,'[1]111-112-113 ADDITIONAL FUND'!A$1:A$65536))</f>
        <v>1173</v>
      </c>
      <c r="J44" s="137">
        <f t="shared" si="8"/>
        <v>49207.35</v>
      </c>
      <c r="L44" s="3"/>
      <c r="M44" s="2"/>
      <c r="Q44" s="4"/>
      <c r="R44" s="901"/>
      <c r="S44" s="901"/>
      <c r="T44" s="903"/>
      <c r="U44" s="903"/>
      <c r="V44" s="182" t="s">
        <v>60</v>
      </c>
      <c r="W44" s="239">
        <v>251</v>
      </c>
      <c r="X44" s="134">
        <f t="shared" si="9"/>
        <v>1173</v>
      </c>
      <c r="Y44" s="269">
        <f t="shared" si="10"/>
        <v>0</v>
      </c>
    </row>
    <row r="45" spans="1:25" x14ac:dyDescent="0.25">
      <c r="A45" s="958"/>
      <c r="B45" s="958"/>
      <c r="C45" s="415">
        <v>9.01</v>
      </c>
      <c r="D45" s="415">
        <v>8.5399999999999991</v>
      </c>
      <c r="E45" s="952">
        <f t="shared" si="7"/>
        <v>17.549999999999997</v>
      </c>
      <c r="F45" s="952"/>
      <c r="G45" s="47" t="s">
        <v>60</v>
      </c>
      <c r="H45" s="223">
        <v>252</v>
      </c>
      <c r="I45" s="136">
        <f>INDEX('[1]111-112-113 ADDITIONAL FUND'!H$1:H$65536,MATCH($A$1,'[1]111-112-113 ADDITIONAL FUND'!A$1:A$65536))</f>
        <v>3506</v>
      </c>
      <c r="J45" s="46">
        <f t="shared" si="8"/>
        <v>61530.3</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45.209999999999994</v>
      </c>
      <c r="D50" s="585">
        <f>SUM(D41:D49)</f>
        <v>41.94</v>
      </c>
      <c r="E50" s="954">
        <f>SUM(E41:E49)</f>
        <v>87.15</v>
      </c>
      <c r="F50" s="954"/>
      <c r="G50" s="910" t="s">
        <v>63</v>
      </c>
      <c r="H50" s="910"/>
      <c r="I50" s="910"/>
      <c r="J50" s="276">
        <f>SUM(J41:J49)</f>
        <v>163079.70000000001</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962.63</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4.4710000000000001E-3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1014.5504</v>
      </c>
      <c r="U55" s="184" t="s">
        <v>66</v>
      </c>
      <c r="V55" s="185"/>
      <c r="W55" s="186" t="s">
        <v>71</v>
      </c>
      <c r="X55" s="917">
        <f>I56</f>
        <v>229051.25000000003</v>
      </c>
      <c r="Y55" s="917"/>
    </row>
    <row r="56" spans="1:25" ht="16.5" customHeight="1" x14ac:dyDescent="0.25">
      <c r="A56" s="897" t="s">
        <v>70</v>
      </c>
      <c r="B56" s="897"/>
      <c r="C56" s="237"/>
      <c r="D56" s="237"/>
      <c r="E56" s="48">
        <f>G33</f>
        <v>1014.5504</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4.4289999999999998E-3</v>
      </c>
      <c r="Y56" s="918"/>
    </row>
    <row r="57" spans="1:25" ht="18.75" customHeight="1" x14ac:dyDescent="0.25">
      <c r="A57" s="237"/>
      <c r="H57" s="53" t="s">
        <v>68</v>
      </c>
      <c r="I57" s="943">
        <f>IFERROR(ROUND(E56/I56,6),0)</f>
        <v>4.4289999999999998E-3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962.63</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5.1710000000000002E-3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962.63</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4.4770000000000001E-3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962.63</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5.1799999999999997E-3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4.4770000000000001E-3</v>
      </c>
      <c r="J68" s="138">
        <f>ROUND(G68*I68,2)</f>
        <v>211720.67</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4.4710000000000001E-3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5.1799999999999997E-3</v>
      </c>
      <c r="J71" s="138">
        <f>ROUND(G71*I71,2)</f>
        <v>99289.62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5.1710000000000002E-3</v>
      </c>
      <c r="J72" s="138">
        <f>ROUND(G72*I72,2)</f>
        <v>59708.959999999999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4.4289999999999998E-3</v>
      </c>
      <c r="J85" s="138">
        <f>ROUND(G85*I85,2)</f>
        <v>1190587.3</v>
      </c>
      <c r="K85" s="70"/>
      <c r="L85" s="70"/>
      <c r="M85" s="71"/>
      <c r="N85" s="70"/>
      <c r="O85" s="70"/>
      <c r="P85" s="70"/>
      <c r="Q85" s="70"/>
      <c r="R85" s="860" t="s">
        <v>172</v>
      </c>
      <c r="S85" s="860"/>
      <c r="T85" s="860"/>
      <c r="U85" s="253"/>
      <c r="V85" s="171">
        <f>G85</f>
        <v>268816278</v>
      </c>
      <c r="W85" s="239" t="s">
        <v>81</v>
      </c>
      <c r="X85" s="176">
        <f>X56</f>
        <v>4.4289999999999998E-3</v>
      </c>
      <c r="Y85" s="266">
        <f t="shared" ref="Y85:Y87" si="12">ROUND(V85*X85,2)</f>
        <v>1190587.3</v>
      </c>
    </row>
    <row r="86" spans="1:26" ht="14.25" customHeight="1" x14ac:dyDescent="0.25">
      <c r="A86" s="896" t="s">
        <v>104</v>
      </c>
      <c r="B86" s="896"/>
      <c r="C86" s="896"/>
      <c r="D86" s="896"/>
      <c r="E86" s="896"/>
      <c r="F86" s="248" t="s">
        <v>103</v>
      </c>
      <c r="G86" s="139">
        <v>0</v>
      </c>
      <c r="H86" s="223" t="s">
        <v>81</v>
      </c>
      <c r="I86" s="41">
        <f>I57</f>
        <v>4.4289999999999998E-3</v>
      </c>
      <c r="J86" s="138">
        <f>ROUND(G86*I86,2)</f>
        <v>0</v>
      </c>
      <c r="K86" s="70"/>
      <c r="L86" s="71"/>
      <c r="M86" s="76"/>
      <c r="N86" s="76"/>
      <c r="O86" s="76"/>
      <c r="P86" s="76"/>
      <c r="Q86" s="70"/>
      <c r="R86" s="860" t="s">
        <v>173</v>
      </c>
      <c r="S86" s="860"/>
      <c r="T86" s="860"/>
      <c r="U86" s="253"/>
      <c r="V86" s="203">
        <f>G86</f>
        <v>0</v>
      </c>
      <c r="W86" s="239" t="s">
        <v>81</v>
      </c>
      <c r="X86" s="176">
        <f>X56</f>
        <v>4.4289999999999998E-3</v>
      </c>
      <c r="Y86" s="266">
        <f t="shared" si="12"/>
        <v>0</v>
      </c>
    </row>
    <row r="87" spans="1:26" ht="18" customHeight="1" x14ac:dyDescent="0.25">
      <c r="A87" s="896" t="s">
        <v>105</v>
      </c>
      <c r="B87" s="896"/>
      <c r="C87" s="896"/>
      <c r="D87" s="896"/>
      <c r="E87" s="896"/>
      <c r="F87" s="248" t="s">
        <v>84</v>
      </c>
      <c r="G87" s="139">
        <v>0</v>
      </c>
      <c r="H87" s="223" t="s">
        <v>81</v>
      </c>
      <c r="I87" s="41">
        <f>I54</f>
        <v>4.4710000000000001E-3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475.88470000000001</v>
      </c>
      <c r="C90" s="245"/>
      <c r="D90" s="867">
        <f>I6</f>
        <v>1.0355000000000001</v>
      </c>
      <c r="E90" s="867"/>
      <c r="F90" s="867"/>
      <c r="G90" s="122">
        <f>'[1]Detail 2025-26 FEFP Second'!AB3</f>
        <v>958.42</v>
      </c>
      <c r="H90" s="47" t="s">
        <v>68</v>
      </c>
      <c r="I90" s="727">
        <f>ROUND(B90*D90*G90,2)</f>
        <v>472288.87</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538.66570000000002</v>
      </c>
      <c r="C91" s="245"/>
      <c r="D91" s="867">
        <f>I6</f>
        <v>1.0355000000000001</v>
      </c>
      <c r="E91" s="867"/>
      <c r="F91" s="867"/>
      <c r="G91" s="122">
        <f>'[1]Detail 2025-26 FEFP Second'!AC3</f>
        <v>915.09</v>
      </c>
      <c r="H91" s="47" t="s">
        <v>68</v>
      </c>
      <c r="I91" s="727">
        <f>ROUND(B91*D91*G91,2)</f>
        <v>510426.53</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727">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1014.5504000000001</v>
      </c>
      <c r="C93" s="109"/>
      <c r="D93" s="109"/>
      <c r="E93" s="937" t="s">
        <v>112</v>
      </c>
      <c r="F93" s="937"/>
      <c r="G93" s="937"/>
      <c r="H93" s="937"/>
      <c r="I93" s="937"/>
      <c r="J93" s="127">
        <f>IF(A1=75,0,I92+I91+I90)</f>
        <v>982715.4</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v>179</v>
      </c>
      <c r="D97" s="279">
        <v>192</v>
      </c>
      <c r="E97" s="989">
        <f>(C97+D97)/2</f>
        <v>185.5</v>
      </c>
      <c r="F97" s="940"/>
      <c r="G97" s="940"/>
      <c r="H97" s="224" t="s">
        <v>117</v>
      </c>
      <c r="I97" s="130">
        <f>IF(A1&gt;67,0,INDEX('[1]Transportation Per Student'!F$1:F$65536,MATCH(A1,'[1]Transportation Per Student'!B$1:B$65536)))</f>
        <v>617</v>
      </c>
      <c r="J97" s="138">
        <f>ROUND(I97*E97,2)</f>
        <v>114453.5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8465831.0800000001</v>
      </c>
      <c r="L107" s="576"/>
      <c r="R107" s="860" t="s">
        <v>125</v>
      </c>
      <c r="S107" s="860"/>
      <c r="T107" s="860"/>
      <c r="U107" s="860"/>
      <c r="V107" s="860"/>
      <c r="W107" s="860"/>
      <c r="X107" s="860"/>
      <c r="Y107" s="219">
        <f>SUM(Y106,Y105,Y97,Y96,Y93,Y86,Y85,Y84,Y70,Y69,Y67,Y33,Y71,Y50,Y87,Y83)</f>
        <v>1190587.3</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8059354.0700000003</v>
      </c>
      <c r="R109" s="170" t="s">
        <v>180</v>
      </c>
      <c r="S109" s="170"/>
      <c r="T109" s="170"/>
      <c r="U109" s="170"/>
      <c r="V109" s="170"/>
      <c r="W109" s="170"/>
      <c r="X109" s="170"/>
      <c r="Y109" s="220">
        <f>Y107-Y38</f>
        <v>1190587.3</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1190587.3</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8059354.0700000003</v>
      </c>
      <c r="J114" s="296">
        <f>ROUND(IF(E28=0,0,IF(E28&gt;250,-(((250/E28)*I114)*IF(H114="H",0.02,0.05)),IF(H114="H",-0.02*I114,-0.05*I114))),2)</f>
        <v>-104652.8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8361178.2800000003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Payments'!R113</f>
        <v>-4174384.93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4186793.35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697798.89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298314.90000000002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topLeftCell="A74"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474</v>
      </c>
      <c r="B2" s="102"/>
      <c r="C2" s="102"/>
      <c r="D2" s="102"/>
      <c r="E2" s="100"/>
      <c r="F2" s="100"/>
      <c r="G2" s="100"/>
      <c r="H2" s="100"/>
      <c r="I2" s="100"/>
      <c r="J2" s="100"/>
      <c r="K2" s="6"/>
      <c r="L2" s="6"/>
      <c r="M2" s="6"/>
      <c r="N2" s="6"/>
      <c r="O2" s="6"/>
      <c r="P2" s="6"/>
      <c r="Q2" s="6"/>
      <c r="R2" s="873" t="str">
        <f>Revenue_Estimate_Worksheet_for___________Charter_School</f>
        <v>Revenue Estimate Worksheet: University Prep Palm Beach - 4080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t="s">
        <v>184</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Second'!$C$1:$C$65536,MATCH('4080'!$A$1,'[1]Detail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0</v>
      </c>
      <c r="D28" s="126">
        <f>SUM(D12:D27)</f>
        <v>0</v>
      </c>
      <c r="E28" s="964">
        <f>SUM(E12:E27)</f>
        <v>0</v>
      </c>
      <c r="F28" s="964"/>
      <c r="G28" s="959"/>
      <c r="H28" s="959"/>
      <c r="I28" s="23">
        <f>SUM(I12:I27)</f>
        <v>0</v>
      </c>
      <c r="J28" s="127">
        <f>SUM(J12:J27)</f>
        <v>0</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0</v>
      </c>
      <c r="H33" s="959" t="s">
        <v>45</v>
      </c>
      <c r="I33" s="959"/>
      <c r="J33" s="32">
        <f>SUM(J32,J28)</f>
        <v>0</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132"/>
      <c r="H36" s="223" t="s">
        <v>49</v>
      </c>
      <c r="I36" s="38">
        <v>6.6699999999999995E-2</v>
      </c>
      <c r="J36" s="131">
        <f>ROUND(G36*I36,2)</f>
        <v>0</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132"/>
      <c r="H37" s="223" t="s">
        <v>49</v>
      </c>
      <c r="I37" s="38">
        <v>5.4000000000000003E-3</v>
      </c>
      <c r="J37" s="131">
        <f>ROUND(G37*I37,2)</f>
        <v>0</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0</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0</v>
      </c>
      <c r="D50" s="585">
        <f>SUM(D41:D49)</f>
        <v>0</v>
      </c>
      <c r="E50" s="954">
        <f>SUM(E41:E49)</f>
        <v>0</v>
      </c>
      <c r="F50" s="954"/>
      <c r="G50" s="910" t="s">
        <v>63</v>
      </c>
      <c r="H50" s="910"/>
      <c r="I50" s="910"/>
      <c r="J50" s="276">
        <f>SUM(J41:J49)</f>
        <v>0</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0</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0</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0</v>
      </c>
      <c r="U55" s="184" t="s">
        <v>66</v>
      </c>
      <c r="V55" s="185"/>
      <c r="W55" s="186" t="s">
        <v>71</v>
      </c>
      <c r="X55" s="917">
        <f>I56</f>
        <v>229051.25000000003</v>
      </c>
      <c r="Y55" s="917"/>
    </row>
    <row r="56" spans="1:25" ht="16.5" customHeight="1" x14ac:dyDescent="0.25">
      <c r="A56" s="897" t="s">
        <v>70</v>
      </c>
      <c r="B56" s="897"/>
      <c r="C56" s="237"/>
      <c r="D56" s="237"/>
      <c r="E56" s="48">
        <f>G33</f>
        <v>0</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0</v>
      </c>
      <c r="Y56" s="918"/>
    </row>
    <row r="57" spans="1:25" ht="18.75" customHeight="1" x14ac:dyDescent="0.25">
      <c r="A57" s="237"/>
      <c r="H57" s="53" t="s">
        <v>68</v>
      </c>
      <c r="I57" s="943">
        <f>IFERROR(ROUND(E56/I56,6),0)</f>
        <v>0</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0</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0</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0</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0</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0</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0</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0</v>
      </c>
      <c r="J68" s="138">
        <f>ROUND(G68*I68,2)</f>
        <v>0</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0</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60" t="s">
        <v>172</v>
      </c>
      <c r="S85" s="860"/>
      <c r="T85" s="860"/>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0</v>
      </c>
      <c r="J86" s="138">
        <f>ROUND(G86*I86,2)</f>
        <v>0</v>
      </c>
      <c r="K86" s="70"/>
      <c r="L86" s="71"/>
      <c r="M86" s="76"/>
      <c r="N86" s="76"/>
      <c r="O86" s="76"/>
      <c r="P86" s="76"/>
      <c r="Q86" s="70"/>
      <c r="R86" s="860" t="s">
        <v>173</v>
      </c>
      <c r="S86" s="860"/>
      <c r="T86" s="860"/>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0</v>
      </c>
      <c r="C93" s="109"/>
      <c r="D93" s="109"/>
      <c r="E93" s="937" t="s">
        <v>112</v>
      </c>
      <c r="F93" s="937"/>
      <c r="G93" s="937"/>
      <c r="H93" s="937"/>
      <c r="I93" s="937"/>
      <c r="J93" s="127">
        <f>IF(A1=75,0,I92+I91+I90)</f>
        <v>0</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279"/>
      <c r="D97" s="279"/>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0</v>
      </c>
      <c r="L107" s="576"/>
      <c r="R107" s="860" t="s">
        <v>125</v>
      </c>
      <c r="S107" s="860"/>
      <c r="T107" s="860"/>
      <c r="U107" s="860"/>
      <c r="V107" s="860"/>
      <c r="W107" s="860"/>
      <c r="X107" s="860"/>
      <c r="Y107" s="219">
        <f>SUM(Y106,Y105,Y97,Y96,Y93,Y86,Y85,Y84,Y70,Y69,Y67,Y33,Y71,Y50,Y87,Y83)</f>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0</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D39" workbookViewId="0">
      <selection activeCell="T55" sqref="T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475</v>
      </c>
      <c r="B2" s="102"/>
      <c r="C2" s="102"/>
      <c r="D2" s="102"/>
      <c r="E2" s="100"/>
      <c r="F2" s="100"/>
      <c r="G2" s="100"/>
      <c r="H2" s="100"/>
      <c r="I2" s="100"/>
      <c r="J2" s="100"/>
      <c r="K2" s="6"/>
      <c r="L2" s="6"/>
      <c r="M2" s="6"/>
      <c r="N2" s="6"/>
      <c r="O2" s="6"/>
      <c r="P2" s="6"/>
      <c r="Q2" s="6"/>
      <c r="R2" s="873" t="str">
        <f>Revenue_Estimate_Worksheet_for___________Charter_School</f>
        <v>Revenue Estimate Worksheet: Florida Futures Academy - North Campus - 4081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Second'!$C$1:$C$65536,MATCH('4081'!$A$1,'[1]Detail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49.41</v>
      </c>
      <c r="D16" s="415">
        <v>50.18</v>
      </c>
      <c r="E16" s="965">
        <f t="shared" si="0"/>
        <v>99.59</v>
      </c>
      <c r="F16" s="965"/>
      <c r="G16" s="966">
        <v>0.97199999999999998</v>
      </c>
      <c r="H16" s="966"/>
      <c r="I16" s="578">
        <f t="shared" si="2"/>
        <v>96.801500000000004</v>
      </c>
      <c r="J16" s="579">
        <f t="shared" si="1"/>
        <v>538538.43000000005</v>
      </c>
      <c r="M16" s="2"/>
      <c r="R16" s="858" t="s">
        <v>24</v>
      </c>
      <c r="S16" s="858"/>
      <c r="T16" s="889">
        <f t="shared" si="3"/>
        <v>0</v>
      </c>
      <c r="U16" s="889"/>
      <c r="V16" s="894">
        <v>1</v>
      </c>
      <c r="W16" s="894"/>
      <c r="X16" s="156">
        <f t="shared" si="4"/>
        <v>0</v>
      </c>
      <c r="Y16" s="266">
        <f t="shared" si="6"/>
        <v>0</v>
      </c>
    </row>
    <row r="17" spans="1:25" x14ac:dyDescent="0.25">
      <c r="A17" s="859" t="s">
        <v>25</v>
      </c>
      <c r="B17" s="859"/>
      <c r="C17" s="415">
        <v>10.92</v>
      </c>
      <c r="D17" s="415">
        <v>11.41</v>
      </c>
      <c r="E17" s="965">
        <f t="shared" si="0"/>
        <v>22.33</v>
      </c>
      <c r="F17" s="965"/>
      <c r="G17" s="966">
        <v>0.97199999999999998</v>
      </c>
      <c r="H17" s="966"/>
      <c r="I17" s="578">
        <f t="shared" si="2"/>
        <v>21.704799999999999</v>
      </c>
      <c r="J17" s="579">
        <f t="shared" si="1"/>
        <v>120750.91</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4.0199999999999996</v>
      </c>
      <c r="D26" s="415">
        <v>4.0199999999999996</v>
      </c>
      <c r="E26" s="965">
        <f t="shared" si="0"/>
        <v>8.0399999999999991</v>
      </c>
      <c r="F26" s="965"/>
      <c r="G26" s="966">
        <v>1.165</v>
      </c>
      <c r="H26" s="966"/>
      <c r="I26" s="578">
        <f t="shared" si="2"/>
        <v>9.3666</v>
      </c>
      <c r="J26" s="579">
        <f t="shared" si="1"/>
        <v>52109.46</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64.349999999999994</v>
      </c>
      <c r="D28" s="126">
        <f>SUM(D12:D27)</f>
        <v>65.61</v>
      </c>
      <c r="E28" s="964">
        <f>SUM(E12:E27)</f>
        <v>129.96</v>
      </c>
      <c r="F28" s="964"/>
      <c r="G28" s="959"/>
      <c r="H28" s="959"/>
      <c r="I28" s="23">
        <f>SUM(I12:I27)</f>
        <v>127.87290000000002</v>
      </c>
      <c r="J28" s="127">
        <f>SUM(J12:J27)</f>
        <v>711398.8</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127.87290000000002</v>
      </c>
      <c r="H33" s="959" t="s">
        <v>45</v>
      </c>
      <c r="I33" s="959"/>
      <c r="J33" s="32">
        <f>SUM(J32,J28)</f>
        <v>711398.8</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702313.88</v>
      </c>
      <c r="H36" s="223" t="s">
        <v>49</v>
      </c>
      <c r="I36" s="38">
        <v>6.6699999999999995E-2</v>
      </c>
      <c r="J36" s="131">
        <f>ROUND(G36*I36,2)</f>
        <v>46844.34</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702313.88</v>
      </c>
      <c r="H37" s="223" t="s">
        <v>49</v>
      </c>
      <c r="I37" s="38">
        <v>5.4000000000000003E-3</v>
      </c>
      <c r="J37" s="131">
        <f>ROUND(G37*I37,2)</f>
        <v>3792.49</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50636.829999999994</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727"/>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727">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72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727">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9.41</v>
      </c>
      <c r="D47" s="415">
        <v>9.83</v>
      </c>
      <c r="E47" s="952">
        <f t="shared" si="7"/>
        <v>19.240000000000002</v>
      </c>
      <c r="F47" s="952"/>
      <c r="G47" s="47" t="s">
        <v>61</v>
      </c>
      <c r="H47" s="223">
        <v>251</v>
      </c>
      <c r="I47" s="136">
        <f>INDEX('[1]111-112-113 ADDITIONAL FUND'!J$1:J$65536,MATCH($A$1,'[1]111-112-113 ADDITIONAL FUND'!A$1:A$65536))</f>
        <v>835</v>
      </c>
      <c r="J47" s="727">
        <f t="shared" si="8"/>
        <v>16065.4</v>
      </c>
      <c r="M47" s="2"/>
      <c r="R47" s="901"/>
      <c r="S47" s="901"/>
      <c r="T47" s="903"/>
      <c r="U47" s="903"/>
      <c r="V47" s="182" t="s">
        <v>61</v>
      </c>
      <c r="W47" s="239">
        <v>251</v>
      </c>
      <c r="X47" s="134">
        <f t="shared" si="9"/>
        <v>835</v>
      </c>
      <c r="Y47" s="269">
        <f t="shared" si="10"/>
        <v>0</v>
      </c>
    </row>
    <row r="48" spans="1:25" ht="15.75" customHeight="1" x14ac:dyDescent="0.25">
      <c r="A48" s="958"/>
      <c r="B48" s="958"/>
      <c r="C48" s="415">
        <v>0.5</v>
      </c>
      <c r="D48" s="415">
        <v>0.52</v>
      </c>
      <c r="E48" s="952">
        <f t="shared" si="7"/>
        <v>1.02</v>
      </c>
      <c r="F48" s="952"/>
      <c r="G48" s="47" t="s">
        <v>61</v>
      </c>
      <c r="H48" s="223">
        <v>252</v>
      </c>
      <c r="I48" s="136">
        <f>INDEX('[1]111-112-113 ADDITIONAL FUND'!K$1:K$65536,MATCH($A$1,'[1]111-112-113 ADDITIONAL FUND'!A$1:A$65536))</f>
        <v>3168</v>
      </c>
      <c r="J48" s="727">
        <f t="shared" si="8"/>
        <v>3231.36</v>
      </c>
      <c r="M48" s="2"/>
      <c r="R48" s="901"/>
      <c r="S48" s="901"/>
      <c r="T48" s="903"/>
      <c r="U48" s="903"/>
      <c r="V48" s="182" t="s">
        <v>61</v>
      </c>
      <c r="W48" s="239">
        <v>252</v>
      </c>
      <c r="X48" s="134">
        <f t="shared" si="9"/>
        <v>3168</v>
      </c>
      <c r="Y48" s="269">
        <f t="shared" si="10"/>
        <v>0</v>
      </c>
    </row>
    <row r="49" spans="1:25" ht="15.75" customHeight="1" thickBot="1" x14ac:dyDescent="0.3">
      <c r="A49" s="958"/>
      <c r="B49" s="958"/>
      <c r="C49" s="415">
        <v>1.01</v>
      </c>
      <c r="D49" s="415">
        <v>1.06</v>
      </c>
      <c r="E49" s="953">
        <f t="shared" si="7"/>
        <v>2.0700000000000003</v>
      </c>
      <c r="F49" s="953"/>
      <c r="G49" s="47" t="s">
        <v>61</v>
      </c>
      <c r="H49" s="223">
        <v>253</v>
      </c>
      <c r="I49" s="136">
        <f>INDEX('[1]111-112-113 ADDITIONAL FUND'!L$1:L$65536,MATCH($A$1,'[1]111-112-113 ADDITIONAL FUND'!A$1:A$65536))</f>
        <v>6685</v>
      </c>
      <c r="J49" s="727">
        <f t="shared" si="8"/>
        <v>13837.95</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10.92</v>
      </c>
      <c r="D50" s="585">
        <f>SUM(D41:D49)</f>
        <v>11.41</v>
      </c>
      <c r="E50" s="954">
        <f>SUM(E41:E49)</f>
        <v>22.330000000000002</v>
      </c>
      <c r="F50" s="954"/>
      <c r="G50" s="910" t="s">
        <v>63</v>
      </c>
      <c r="H50" s="910"/>
      <c r="I50" s="910"/>
      <c r="J50" s="276">
        <f>SUM(J41:J49)</f>
        <v>33134.71</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129.96</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6.0400000000000004E-4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127.87290000000002</v>
      </c>
      <c r="U55" s="184" t="s">
        <v>66</v>
      </c>
      <c r="V55" s="185"/>
      <c r="W55" s="186" t="s">
        <v>71</v>
      </c>
      <c r="X55" s="917">
        <f>I56</f>
        <v>229051.25000000003</v>
      </c>
      <c r="Y55" s="917"/>
    </row>
    <row r="56" spans="1:25" ht="16.5" customHeight="1" x14ac:dyDescent="0.25">
      <c r="A56" s="897" t="s">
        <v>70</v>
      </c>
      <c r="B56" s="897"/>
      <c r="C56" s="237"/>
      <c r="D56" s="237"/>
      <c r="E56" s="48">
        <f>G33</f>
        <v>127.87290000000002</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5.5800000000000001E-4</v>
      </c>
      <c r="Y56" s="918"/>
    </row>
    <row r="57" spans="1:25" ht="18.75" customHeight="1" x14ac:dyDescent="0.25">
      <c r="A57" s="237"/>
      <c r="H57" s="53" t="s">
        <v>68</v>
      </c>
      <c r="I57" s="943">
        <f>IFERROR(ROUND(E56/I56,6),0)</f>
        <v>5.5800000000000001E-4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129.96</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6.9800000000000005E-4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129.96</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6.0400000000000004E-4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129.96</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6.9899999999999997E-4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6.0400000000000004E-4</v>
      </c>
      <c r="J68" s="138">
        <f>ROUND(G68*I68,2)</f>
        <v>28563.61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6.0400000000000004E-4</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6.9899999999999997E-4</v>
      </c>
      <c r="J71" s="138">
        <f>ROUND(G71*I71,2)</f>
        <v>13398.35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6.9800000000000005E-4</v>
      </c>
      <c r="J72" s="138">
        <f>ROUND(G72*I72,2)</f>
        <v>8059.73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5.5800000000000001E-4</v>
      </c>
      <c r="J85" s="138">
        <f>ROUND(G85*I85,2)</f>
        <v>149999.48000000001</v>
      </c>
      <c r="K85" s="70"/>
      <c r="L85" s="70"/>
      <c r="M85" s="71"/>
      <c r="N85" s="70"/>
      <c r="O85" s="70"/>
      <c r="P85" s="70"/>
      <c r="Q85" s="70"/>
      <c r="R85" s="860" t="s">
        <v>172</v>
      </c>
      <c r="S85" s="860"/>
      <c r="T85" s="860"/>
      <c r="U85" s="253"/>
      <c r="V85" s="171">
        <f>G85</f>
        <v>268816278</v>
      </c>
      <c r="W85" s="239" t="s">
        <v>81</v>
      </c>
      <c r="X85" s="176">
        <f>X56</f>
        <v>5.5800000000000001E-4</v>
      </c>
      <c r="Y85" s="266">
        <f t="shared" ref="Y85:Y87" si="12">ROUND(V85*X85,2)</f>
        <v>149999.48000000001</v>
      </c>
    </row>
    <row r="86" spans="1:26" ht="14.25" customHeight="1" x14ac:dyDescent="0.25">
      <c r="A86" s="896" t="s">
        <v>104</v>
      </c>
      <c r="B86" s="896"/>
      <c r="C86" s="896"/>
      <c r="D86" s="896"/>
      <c r="E86" s="896"/>
      <c r="F86" s="248" t="s">
        <v>103</v>
      </c>
      <c r="G86" s="139">
        <v>0</v>
      </c>
      <c r="H86" s="223" t="s">
        <v>81</v>
      </c>
      <c r="I86" s="41">
        <f>I57</f>
        <v>5.5800000000000001E-4</v>
      </c>
      <c r="J86" s="138">
        <f>ROUND(G86*I86,2)</f>
        <v>0</v>
      </c>
      <c r="K86" s="70"/>
      <c r="L86" s="71"/>
      <c r="M86" s="76"/>
      <c r="N86" s="76"/>
      <c r="O86" s="76"/>
      <c r="P86" s="76"/>
      <c r="Q86" s="70"/>
      <c r="R86" s="860" t="s">
        <v>173</v>
      </c>
      <c r="S86" s="860"/>
      <c r="T86" s="860"/>
      <c r="U86" s="253"/>
      <c r="V86" s="203">
        <f>G86</f>
        <v>0</v>
      </c>
      <c r="W86" s="239" t="s">
        <v>81</v>
      </c>
      <c r="X86" s="176">
        <f>X56</f>
        <v>5.5800000000000001E-4</v>
      </c>
      <c r="Y86" s="266">
        <f t="shared" si="12"/>
        <v>0</v>
      </c>
    </row>
    <row r="87" spans="1:26" ht="18" customHeight="1" x14ac:dyDescent="0.25">
      <c r="A87" s="896" t="s">
        <v>105</v>
      </c>
      <c r="B87" s="896"/>
      <c r="C87" s="896"/>
      <c r="D87" s="896"/>
      <c r="E87" s="896"/>
      <c r="F87" s="248" t="s">
        <v>84</v>
      </c>
      <c r="G87" s="139">
        <v>0</v>
      </c>
      <c r="H87" s="223" t="s">
        <v>81</v>
      </c>
      <c r="I87" s="41">
        <f>I54</f>
        <v>6.0400000000000004E-4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727">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727">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127.87290000000002</v>
      </c>
      <c r="C92" s="109"/>
      <c r="D92" s="867">
        <f>I6</f>
        <v>1.0355000000000001</v>
      </c>
      <c r="E92" s="867"/>
      <c r="F92" s="867"/>
      <c r="G92" s="122">
        <f>'[1]Detail 2025-26 FEFP Second'!AD3</f>
        <v>917.3</v>
      </c>
      <c r="H92" s="47" t="s">
        <v>68</v>
      </c>
      <c r="I92" s="727">
        <f>ROUND(B92*D92*G92,2)</f>
        <v>121461.88</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127.87290000000002</v>
      </c>
      <c r="C93" s="109"/>
      <c r="D93" s="109"/>
      <c r="E93" s="937" t="s">
        <v>112</v>
      </c>
      <c r="F93" s="937"/>
      <c r="G93" s="937"/>
      <c r="H93" s="937"/>
      <c r="I93" s="937"/>
      <c r="J93" s="127">
        <f>IF(A1=75,0,I92+I91+I90)</f>
        <v>121461.88</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22</v>
      </c>
      <c r="D97" s="415">
        <v>22</v>
      </c>
      <c r="E97" s="989">
        <f>(C97+D97)/2</f>
        <v>22</v>
      </c>
      <c r="F97" s="940"/>
      <c r="G97" s="940"/>
      <c r="H97" s="224" t="s">
        <v>117</v>
      </c>
      <c r="I97" s="130">
        <f>IF(A1&gt;67,0,INDEX('[1]Transportation Per Student'!F$1:F$65536,MATCH(A1,'[1]Transportation Per Student'!B$1:B$65536)))</f>
        <v>617</v>
      </c>
      <c r="J97" s="138">
        <f>ROUND(I97*E97,2)</f>
        <v>13574</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1079590.56</v>
      </c>
      <c r="L107" s="576"/>
      <c r="R107" s="860" t="s">
        <v>125</v>
      </c>
      <c r="S107" s="860"/>
      <c r="T107" s="860"/>
      <c r="U107" s="860"/>
      <c r="V107" s="860"/>
      <c r="W107" s="860"/>
      <c r="X107" s="860"/>
      <c r="Y107" s="219">
        <f>SUM(Y106,Y105,Y97,Y96,Y93,Y86,Y85,Y84,Y70,Y69,Y67,Y33,Y71,Y50,Y87,Y83)</f>
        <v>149999.48000000001</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1028953.7300000001</v>
      </c>
      <c r="R109" s="170" t="s">
        <v>180</v>
      </c>
      <c r="S109" s="170"/>
      <c r="T109" s="170"/>
      <c r="U109" s="170"/>
      <c r="V109" s="170"/>
      <c r="W109" s="170"/>
      <c r="X109" s="170"/>
      <c r="Y109" s="220">
        <f>Y107-Y38</f>
        <v>149999.48000000001</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149999.48000000001</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1028953.7300000001</v>
      </c>
      <c r="J114" s="296">
        <f>ROUND(IF(E28=0,0,IF(E28&gt;250,-(((250/E28)*I114)*IF(H113="H",0.02,0.05)),IF(H113="H",-0.02*I114,-0.05*I114))),2)</f>
        <v>-51447.69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1028142.8700000001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Payments'!R115</f>
        <v>-511308.35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516834.52000000014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86139.09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90"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476</v>
      </c>
      <c r="B2" s="102"/>
      <c r="C2" s="102"/>
      <c r="D2" s="102"/>
      <c r="E2" s="100"/>
      <c r="F2" s="100"/>
      <c r="G2" s="100"/>
      <c r="H2" s="100"/>
      <c r="I2" s="100"/>
      <c r="J2" s="100"/>
      <c r="K2" s="6"/>
      <c r="L2" s="6"/>
      <c r="M2" s="6"/>
      <c r="N2" s="6"/>
      <c r="O2" s="6"/>
      <c r="P2" s="6"/>
      <c r="Q2" s="6"/>
      <c r="R2" s="873" t="str">
        <f>Revenue_Estimate_Worksheet_for___________Charter_School</f>
        <v>Revenue Estimate Worksheet: Sports Leadership &amp; Management Middle School (SLAM) - 4090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Second'!$C$1:$C$65536,MATCH('4090'!$A$1,'[1]Detail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106.2</v>
      </c>
      <c r="D14" s="415">
        <v>133.84</v>
      </c>
      <c r="E14" s="965">
        <f t="shared" si="0"/>
        <v>240.04000000000002</v>
      </c>
      <c r="F14" s="965"/>
      <c r="G14" s="966">
        <v>1</v>
      </c>
      <c r="H14" s="966"/>
      <c r="I14" s="578">
        <f t="shared" si="2"/>
        <v>240.04</v>
      </c>
      <c r="J14" s="579">
        <f>ROUND(ROUND(ROUND(I14*$E$6,4)*($I$6),2)*(MAX($I$7,1)),2)</f>
        <v>1335421.0900000001</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16.48</v>
      </c>
      <c r="D15" s="415">
        <v>19.68</v>
      </c>
      <c r="E15" s="965">
        <f t="shared" si="0"/>
        <v>36.159999999999997</v>
      </c>
      <c r="F15" s="965"/>
      <c r="G15" s="966">
        <v>1</v>
      </c>
      <c r="H15" s="966"/>
      <c r="I15" s="578">
        <f t="shared" si="2"/>
        <v>36.159999999999997</v>
      </c>
      <c r="J15" s="579">
        <f t="shared" si="1"/>
        <v>201169.92000000001</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13.18</v>
      </c>
      <c r="D25" s="415">
        <v>15.31</v>
      </c>
      <c r="E25" s="965">
        <f t="shared" si="0"/>
        <v>28.490000000000002</v>
      </c>
      <c r="F25" s="965"/>
      <c r="G25" s="966">
        <v>1.165</v>
      </c>
      <c r="H25" s="966"/>
      <c r="I25" s="578">
        <f t="shared" si="2"/>
        <v>33.190899999999999</v>
      </c>
      <c r="J25" s="579">
        <f t="shared" si="1"/>
        <v>184651.84</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135.86000000000001</v>
      </c>
      <c r="D28" s="126">
        <f>SUM(D12:D27)</f>
        <v>168.83</v>
      </c>
      <c r="E28" s="964">
        <f>SUM(E12:E27)</f>
        <v>304.69000000000005</v>
      </c>
      <c r="F28" s="964"/>
      <c r="G28" s="959"/>
      <c r="H28" s="959"/>
      <c r="I28" s="23">
        <f>SUM(I12:I27)</f>
        <v>309.39089999999999</v>
      </c>
      <c r="J28" s="127">
        <f>SUM(J12:J27)</f>
        <v>1721242.85</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309.39089999999999</v>
      </c>
      <c r="H33" s="959" t="s">
        <v>45</v>
      </c>
      <c r="I33" s="959"/>
      <c r="J33" s="32">
        <f>SUM(J32,J28)</f>
        <v>1721242.85</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1571629.39</v>
      </c>
      <c r="H36" s="223" t="s">
        <v>49</v>
      </c>
      <c r="I36" s="38">
        <v>6.6699999999999995E-2</v>
      </c>
      <c r="J36" s="131">
        <f>ROUND(G36*I36,2)</f>
        <v>104827.68</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1571629.39</v>
      </c>
      <c r="H37" s="223" t="s">
        <v>49</v>
      </c>
      <c r="I37" s="38">
        <v>5.4000000000000003E-3</v>
      </c>
      <c r="J37" s="131">
        <f>ROUND(G37*I37,2)</f>
        <v>8486.7999999999993</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113314.48</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16</v>
      </c>
      <c r="D44" s="415">
        <v>19.100000000000001</v>
      </c>
      <c r="E44" s="952">
        <f t="shared" si="7"/>
        <v>35.1</v>
      </c>
      <c r="F44" s="952"/>
      <c r="G44" s="47" t="s">
        <v>60</v>
      </c>
      <c r="H44" s="223">
        <v>251</v>
      </c>
      <c r="I44" s="136">
        <f>INDEX('[1]111-112-113 ADDITIONAL FUND'!G$1:G$65536,MATCH($A$1,'[1]111-112-113 ADDITIONAL FUND'!A$1:A$65536))</f>
        <v>1173</v>
      </c>
      <c r="J44" s="137">
        <f t="shared" si="8"/>
        <v>41172.300000000003</v>
      </c>
      <c r="L44" s="3"/>
      <c r="M44" s="2"/>
      <c r="Q44" s="4"/>
      <c r="R44" s="901"/>
      <c r="S44" s="901"/>
      <c r="T44" s="903"/>
      <c r="U44" s="903"/>
      <c r="V44" s="182" t="s">
        <v>60</v>
      </c>
      <c r="W44" s="239">
        <v>251</v>
      </c>
      <c r="X44" s="134">
        <f t="shared" si="9"/>
        <v>1173</v>
      </c>
      <c r="Y44" s="269">
        <f t="shared" si="10"/>
        <v>0</v>
      </c>
    </row>
    <row r="45" spans="1:25" x14ac:dyDescent="0.25">
      <c r="A45" s="958"/>
      <c r="B45" s="958"/>
      <c r="C45" s="415">
        <v>0.48</v>
      </c>
      <c r="D45" s="415">
        <v>0.57999999999999996</v>
      </c>
      <c r="E45" s="952">
        <f t="shared" si="7"/>
        <v>1.06</v>
      </c>
      <c r="F45" s="952"/>
      <c r="G45" s="47" t="s">
        <v>60</v>
      </c>
      <c r="H45" s="223">
        <v>252</v>
      </c>
      <c r="I45" s="136">
        <f>INDEX('[1]111-112-113 ADDITIONAL FUND'!H$1:H$65536,MATCH($A$1,'[1]111-112-113 ADDITIONAL FUND'!A$1:A$65536))</f>
        <v>3506</v>
      </c>
      <c r="J45" s="46">
        <f t="shared" si="8"/>
        <v>3716.36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16.48</v>
      </c>
      <c r="D50" s="585">
        <f>SUM(D41:D49)</f>
        <v>19.68</v>
      </c>
      <c r="E50" s="954">
        <f>SUM(E41:E49)</f>
        <v>36.160000000000004</v>
      </c>
      <c r="F50" s="954"/>
      <c r="G50" s="910" t="s">
        <v>63</v>
      </c>
      <c r="H50" s="910"/>
      <c r="I50" s="910"/>
      <c r="J50" s="276">
        <f>SUM(J41:J49)</f>
        <v>44888.66</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304.69000000000005</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1.415E-3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309.39089999999999</v>
      </c>
      <c r="U55" s="184" t="s">
        <v>66</v>
      </c>
      <c r="V55" s="185"/>
      <c r="W55" s="186" t="s">
        <v>71</v>
      </c>
      <c r="X55" s="917">
        <f>I56</f>
        <v>229051.25000000003</v>
      </c>
      <c r="Y55" s="917"/>
    </row>
    <row r="56" spans="1:25" ht="16.5" customHeight="1" x14ac:dyDescent="0.25">
      <c r="A56" s="897" t="s">
        <v>70</v>
      </c>
      <c r="B56" s="897"/>
      <c r="C56" s="237"/>
      <c r="D56" s="237"/>
      <c r="E56" s="48">
        <f>G33</f>
        <v>309.39089999999999</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1.351E-3</v>
      </c>
      <c r="Y56" s="918"/>
    </row>
    <row r="57" spans="1:25" ht="18.75" customHeight="1" x14ac:dyDescent="0.25">
      <c r="A57" s="237"/>
      <c r="H57" s="53" t="s">
        <v>68</v>
      </c>
      <c r="I57" s="943">
        <f>IFERROR(ROUND(E56/I56,6),0)</f>
        <v>1.351E-3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304.69000000000005</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1.637E-3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304.69000000000005</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1.4170000000000001E-3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304.69000000000005</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1.639E-3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1.4170000000000001E-3</v>
      </c>
      <c r="J68" s="138">
        <f>ROUND(G68*I68,2)</f>
        <v>67010.990000000005</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1.415E-3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1.639E-3</v>
      </c>
      <c r="J71" s="138">
        <f>ROUND(G71*I71,2)</f>
        <v>31416.16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1.637E-3</v>
      </c>
      <c r="J72" s="138">
        <f>ROUND(G72*I72,2)</f>
        <v>18902.259999999998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1.351E-3</v>
      </c>
      <c r="J85" s="138">
        <f>ROUND(G85*I85,2)</f>
        <v>363170.79</v>
      </c>
      <c r="K85" s="70"/>
      <c r="L85" s="70"/>
      <c r="M85" s="71"/>
      <c r="N85" s="70"/>
      <c r="O85" s="70"/>
      <c r="P85" s="70"/>
      <c r="Q85" s="70"/>
      <c r="R85" s="860" t="s">
        <v>172</v>
      </c>
      <c r="S85" s="860"/>
      <c r="T85" s="860"/>
      <c r="U85" s="253"/>
      <c r="V85" s="171">
        <f>G85</f>
        <v>268816278</v>
      </c>
      <c r="W85" s="239" t="s">
        <v>81</v>
      </c>
      <c r="X85" s="176">
        <f>X56</f>
        <v>1.351E-3</v>
      </c>
      <c r="Y85" s="266">
        <f t="shared" ref="Y85:Y87" si="12">ROUND(V85*X85,2)</f>
        <v>363170.79</v>
      </c>
    </row>
    <row r="86" spans="1:26" ht="14.25" customHeight="1" x14ac:dyDescent="0.25">
      <c r="A86" s="896" t="s">
        <v>104</v>
      </c>
      <c r="B86" s="896"/>
      <c r="C86" s="896"/>
      <c r="D86" s="896"/>
      <c r="E86" s="896"/>
      <c r="F86" s="248" t="s">
        <v>103</v>
      </c>
      <c r="G86" s="139">
        <v>0</v>
      </c>
      <c r="H86" s="223" t="s">
        <v>81</v>
      </c>
      <c r="I86" s="41">
        <f>I57</f>
        <v>1.351E-3</v>
      </c>
      <c r="J86" s="138">
        <f>ROUND(G86*I86,2)</f>
        <v>0</v>
      </c>
      <c r="K86" s="70"/>
      <c r="L86" s="71"/>
      <c r="M86" s="76"/>
      <c r="N86" s="76"/>
      <c r="O86" s="76"/>
      <c r="P86" s="76"/>
      <c r="Q86" s="70"/>
      <c r="R86" s="860" t="s">
        <v>173</v>
      </c>
      <c r="S86" s="860"/>
      <c r="T86" s="860"/>
      <c r="U86" s="253"/>
      <c r="V86" s="203">
        <f>G86</f>
        <v>0</v>
      </c>
      <c r="W86" s="239" t="s">
        <v>81</v>
      </c>
      <c r="X86" s="176">
        <f>X56</f>
        <v>1.351E-3</v>
      </c>
      <c r="Y86" s="266">
        <f t="shared" si="12"/>
        <v>0</v>
      </c>
    </row>
    <row r="87" spans="1:26" ht="18" customHeight="1" x14ac:dyDescent="0.25">
      <c r="A87" s="896" t="s">
        <v>105</v>
      </c>
      <c r="B87" s="896"/>
      <c r="C87" s="896"/>
      <c r="D87" s="896"/>
      <c r="E87" s="896"/>
      <c r="F87" s="248" t="s">
        <v>84</v>
      </c>
      <c r="G87" s="139">
        <v>0</v>
      </c>
      <c r="H87" s="223" t="s">
        <v>81</v>
      </c>
      <c r="I87" s="41">
        <f>I54</f>
        <v>1.415E-3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309.39089999999999</v>
      </c>
      <c r="C91" s="245"/>
      <c r="D91" s="867">
        <f>I6</f>
        <v>1.0355000000000001</v>
      </c>
      <c r="E91" s="867"/>
      <c r="F91" s="867"/>
      <c r="G91" s="122">
        <f>'[1]Detail 2025-26 FEFP Second'!AC3</f>
        <v>915.09</v>
      </c>
      <c r="H91" s="47" t="s">
        <v>68</v>
      </c>
      <c r="I91" s="140">
        <f>ROUND(B91*D91*G91,2)</f>
        <v>293171.3</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309.39089999999999</v>
      </c>
      <c r="C93" s="109"/>
      <c r="D93" s="109"/>
      <c r="E93" s="937" t="s">
        <v>112</v>
      </c>
      <c r="F93" s="937"/>
      <c r="G93" s="937"/>
      <c r="H93" s="937"/>
      <c r="I93" s="937"/>
      <c r="J93" s="127">
        <f>IF(A1=75,0,I92+I91+I90)</f>
        <v>293171.3</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2539803.0099999998</v>
      </c>
      <c r="L107" s="576"/>
      <c r="R107" s="860" t="s">
        <v>125</v>
      </c>
      <c r="S107" s="860"/>
      <c r="T107" s="860"/>
      <c r="U107" s="860"/>
      <c r="V107" s="860"/>
      <c r="W107" s="860"/>
      <c r="X107" s="860"/>
      <c r="Y107" s="219">
        <f>SUM(Y106,Y105,Y97,Y96,Y93,Y86,Y85,Y84,Y70,Y69,Y67,Y33,Y71,Y50,Y87,Y83)</f>
        <v>363170.79</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2426488.5299999998</v>
      </c>
      <c r="R109" s="170" t="s">
        <v>180</v>
      </c>
      <c r="S109" s="170"/>
      <c r="T109" s="170"/>
      <c r="U109" s="170"/>
      <c r="V109" s="170"/>
      <c r="W109" s="170"/>
      <c r="X109" s="170"/>
      <c r="Y109" s="220">
        <f>Y107-Y38</f>
        <v>363170.79</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363170.79</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2426488.5299999998</v>
      </c>
      <c r="J114" s="296">
        <f>ROUND(IF(E28=0,0,IF(E28&gt;250,-(((250/E28)*I114)*IF(H114="H",0.02,0.05)),IF(H114="H",-0.02*I114,-0.05*I114))),2)</f>
        <v>-99547.43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2440255.5799999996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Payments'!R116</f>
        <v>-1181937.2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1258318.3799999997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209719.73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21777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C40" workbookViewId="0">
      <selection activeCell="T55" sqref="T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477</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Lakes - 4091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Second'!$C$1:$C$65536,MATCH('4091'!$A$1,'[1]Detail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81.25</v>
      </c>
      <c r="D12" s="411">
        <v>79.099999999999994</v>
      </c>
      <c r="E12" s="979">
        <f t="shared" ref="E12:E27" si="0">IF($D$28=0,C12*2,C12+D12)</f>
        <v>160.35</v>
      </c>
      <c r="F12" s="979"/>
      <c r="G12" s="980">
        <v>1.1080000000000001</v>
      </c>
      <c r="H12" s="980"/>
      <c r="I12" s="578">
        <f>ROUND(E12*G12,4)</f>
        <v>177.6678</v>
      </c>
      <c r="J12" s="579">
        <f t="shared" ref="J12:J27" si="1">ROUND(ROUND(ROUND(I12*$E$6,4)*($I$6),2)*(MAX($I$7,1)),2)</f>
        <v>988424.12</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10.74</v>
      </c>
      <c r="D13" s="415">
        <v>10.71</v>
      </c>
      <c r="E13" s="965">
        <f t="shared" si="0"/>
        <v>21.450000000000003</v>
      </c>
      <c r="F13" s="965"/>
      <c r="G13" s="966">
        <v>1.1080000000000001</v>
      </c>
      <c r="H13" s="966"/>
      <c r="I13" s="578">
        <f t="shared" ref="I13:I27" si="2">ROUND(E13*G13,4)</f>
        <v>23.7666</v>
      </c>
      <c r="J13" s="579">
        <f t="shared" si="1"/>
        <v>132221.37</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48.47</v>
      </c>
      <c r="D14" s="415">
        <v>49.2</v>
      </c>
      <c r="E14" s="965">
        <f t="shared" si="0"/>
        <v>97.67</v>
      </c>
      <c r="F14" s="965"/>
      <c r="G14" s="966">
        <v>1</v>
      </c>
      <c r="H14" s="966"/>
      <c r="I14" s="578">
        <f t="shared" si="2"/>
        <v>97.67</v>
      </c>
      <c r="J14" s="579">
        <f>ROUND(ROUND(ROUND(I14*$E$6,4)*($I$6),2)*(MAX($I$7,1)),2)</f>
        <v>543370.18000000005</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4.8600000000000003</v>
      </c>
      <c r="D15" s="415">
        <v>5.64</v>
      </c>
      <c r="E15" s="965">
        <f t="shared" si="0"/>
        <v>10.5</v>
      </c>
      <c r="F15" s="965"/>
      <c r="G15" s="966">
        <v>1</v>
      </c>
      <c r="H15" s="966"/>
      <c r="I15" s="578">
        <f t="shared" si="2"/>
        <v>10.5</v>
      </c>
      <c r="J15" s="579">
        <f t="shared" si="1"/>
        <v>58414.94</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43.62</v>
      </c>
      <c r="D24" s="415">
        <v>42.72</v>
      </c>
      <c r="E24" s="965">
        <f t="shared" si="0"/>
        <v>86.34</v>
      </c>
      <c r="F24" s="965"/>
      <c r="G24" s="966">
        <v>1.165</v>
      </c>
      <c r="H24" s="966"/>
      <c r="I24" s="578">
        <f t="shared" si="2"/>
        <v>100.5861</v>
      </c>
      <c r="J24" s="579">
        <f t="shared" si="1"/>
        <v>559593.4</v>
      </c>
      <c r="M24" s="2"/>
      <c r="R24" s="858" t="s">
        <v>32</v>
      </c>
      <c r="S24" s="858"/>
      <c r="T24" s="889">
        <f t="shared" si="3"/>
        <v>0</v>
      </c>
      <c r="U24" s="889"/>
      <c r="V24" s="894">
        <v>1</v>
      </c>
      <c r="W24" s="894"/>
      <c r="X24" s="156">
        <f t="shared" si="4"/>
        <v>0</v>
      </c>
      <c r="Y24" s="266">
        <f t="shared" si="6"/>
        <v>0</v>
      </c>
    </row>
    <row r="25" spans="1:25" x14ac:dyDescent="0.25">
      <c r="A25" s="859" t="s">
        <v>33</v>
      </c>
      <c r="B25" s="859"/>
      <c r="C25" s="415">
        <v>8.99</v>
      </c>
      <c r="D25" s="415">
        <v>8.81</v>
      </c>
      <c r="E25" s="965">
        <f t="shared" si="0"/>
        <v>17.8</v>
      </c>
      <c r="F25" s="965"/>
      <c r="G25" s="966">
        <v>1.165</v>
      </c>
      <c r="H25" s="966"/>
      <c r="I25" s="578">
        <f t="shared" si="2"/>
        <v>20.736999999999998</v>
      </c>
      <c r="J25" s="579">
        <f t="shared" si="1"/>
        <v>115366.72</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197.93</v>
      </c>
      <c r="D28" s="126">
        <f>SUM(D12:D27)</f>
        <v>196.17999999999998</v>
      </c>
      <c r="E28" s="964">
        <f>SUM(E12:E27)</f>
        <v>394.11000000000007</v>
      </c>
      <c r="F28" s="964"/>
      <c r="G28" s="959"/>
      <c r="H28" s="959"/>
      <c r="I28" s="23">
        <f>SUM(I12:I27)</f>
        <v>430.92750000000001</v>
      </c>
      <c r="J28" s="127">
        <f>SUM(J12:J27)</f>
        <v>2397390.73</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430.92750000000001</v>
      </c>
      <c r="H33" s="959" t="s">
        <v>45</v>
      </c>
      <c r="I33" s="959"/>
      <c r="J33" s="32">
        <f>SUM(J32,J28)</f>
        <v>2397390.73</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2428058.0100000002</v>
      </c>
      <c r="H36" s="223" t="s">
        <v>49</v>
      </c>
      <c r="I36" s="38">
        <v>6.6699999999999995E-2</v>
      </c>
      <c r="J36" s="131">
        <f>ROUND(G36*I36,2)</f>
        <v>161951.47</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2428058.0100000002</v>
      </c>
      <c r="H37" s="223" t="s">
        <v>49</v>
      </c>
      <c r="I37" s="38">
        <v>5.4000000000000003E-3</v>
      </c>
      <c r="J37" s="131">
        <f>ROUND(G37*I37,2)</f>
        <v>13111.51</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175062.98</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8.7899999999999991</v>
      </c>
      <c r="D41" s="415">
        <v>8.76</v>
      </c>
      <c r="E41" s="952">
        <f t="shared" ref="E41:E49" si="7">IF($D$50=0,C41*2,C41+D41)</f>
        <v>17.549999999999997</v>
      </c>
      <c r="F41" s="952"/>
      <c r="G41" s="223" t="s">
        <v>59</v>
      </c>
      <c r="H41" s="223">
        <v>251</v>
      </c>
      <c r="I41" s="136">
        <f>INDEX('[1]111-112-113 ADDITIONAL FUND'!D$1:D$65536,MATCH($A$1,'[1]111-112-113 ADDITIONAL FUND'!A$1:A$65536))</f>
        <v>1047</v>
      </c>
      <c r="J41" s="46">
        <f t="shared" ref="J41:J49" si="8">ROUND(E41*I41,2)</f>
        <v>18374.849999999999</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1.95</v>
      </c>
      <c r="D42" s="415">
        <v>1.95</v>
      </c>
      <c r="E42" s="952">
        <f t="shared" si="7"/>
        <v>3.9</v>
      </c>
      <c r="F42" s="952"/>
      <c r="G42" s="223" t="s">
        <v>59</v>
      </c>
      <c r="H42" s="223">
        <v>252</v>
      </c>
      <c r="I42" s="136">
        <f>INDEX('[1]111-112-113 ADDITIONAL FUND'!E$1:E$65536,MATCH($A$1,'[1]111-112-113 ADDITIONAL FUND'!A$1:A$65536))</f>
        <v>3380</v>
      </c>
      <c r="J42" s="46">
        <f t="shared" si="8"/>
        <v>13182</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3.89</v>
      </c>
      <c r="D44" s="415">
        <v>4.51</v>
      </c>
      <c r="E44" s="952">
        <f t="shared" si="7"/>
        <v>8.4</v>
      </c>
      <c r="F44" s="952"/>
      <c r="G44" s="47" t="s">
        <v>60</v>
      </c>
      <c r="H44" s="223">
        <v>251</v>
      </c>
      <c r="I44" s="136">
        <f>INDEX('[1]111-112-113 ADDITIONAL FUND'!G$1:G$65536,MATCH($A$1,'[1]111-112-113 ADDITIONAL FUND'!A$1:A$65536))</f>
        <v>1173</v>
      </c>
      <c r="J44" s="137">
        <f t="shared" si="8"/>
        <v>9853.2000000000007</v>
      </c>
      <c r="L44" s="3"/>
      <c r="M44" s="2"/>
      <c r="Q44" s="4"/>
      <c r="R44" s="901"/>
      <c r="S44" s="901"/>
      <c r="T44" s="903"/>
      <c r="U44" s="903"/>
      <c r="V44" s="182" t="s">
        <v>60</v>
      </c>
      <c r="W44" s="239">
        <v>251</v>
      </c>
      <c r="X44" s="134">
        <f t="shared" si="9"/>
        <v>1173</v>
      </c>
      <c r="Y44" s="269">
        <f t="shared" si="10"/>
        <v>0</v>
      </c>
    </row>
    <row r="45" spans="1:25" x14ac:dyDescent="0.25">
      <c r="A45" s="958"/>
      <c r="B45" s="958"/>
      <c r="C45" s="415">
        <v>0.97</v>
      </c>
      <c r="D45" s="415">
        <v>1.1299999999999999</v>
      </c>
      <c r="E45" s="952">
        <f t="shared" si="7"/>
        <v>2.0999999999999996</v>
      </c>
      <c r="F45" s="952"/>
      <c r="G45" s="47" t="s">
        <v>60</v>
      </c>
      <c r="H45" s="223">
        <v>252</v>
      </c>
      <c r="I45" s="136">
        <f>INDEX('[1]111-112-113 ADDITIONAL FUND'!H$1:H$65536,MATCH($A$1,'[1]111-112-113 ADDITIONAL FUND'!A$1:A$65536))</f>
        <v>3506</v>
      </c>
      <c r="J45" s="46">
        <f t="shared" si="8"/>
        <v>7362.6</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15.6</v>
      </c>
      <c r="D50" s="585">
        <f>SUM(D41:D49)</f>
        <v>16.349999999999998</v>
      </c>
      <c r="E50" s="954">
        <f>SUM(E41:E49)</f>
        <v>31.949999999999996</v>
      </c>
      <c r="F50" s="954"/>
      <c r="G50" s="910" t="s">
        <v>63</v>
      </c>
      <c r="H50" s="910"/>
      <c r="I50" s="910"/>
      <c r="J50" s="276">
        <f>SUM(J41:J49)</f>
        <v>48772.65</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394.11000000000007</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1.83E-3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E54</f>
        <v>0</v>
      </c>
      <c r="U55" s="184" t="s">
        <v>66</v>
      </c>
      <c r="V55" s="185"/>
      <c r="W55" s="186" t="s">
        <v>71</v>
      </c>
      <c r="X55" s="917">
        <f>I56</f>
        <v>229051.25000000003</v>
      </c>
      <c r="Y55" s="917"/>
    </row>
    <row r="56" spans="1:25" ht="16.5" customHeight="1" x14ac:dyDescent="0.25">
      <c r="A56" s="897" t="s">
        <v>70</v>
      </c>
      <c r="B56" s="897"/>
      <c r="C56" s="237"/>
      <c r="D56" s="237"/>
      <c r="E56" s="48">
        <f>G33</f>
        <v>430.92750000000001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0</v>
      </c>
      <c r="Y56" s="918"/>
    </row>
    <row r="57" spans="1:25" ht="18.75" customHeight="1" x14ac:dyDescent="0.25">
      <c r="A57" s="237"/>
      <c r="H57" s="53" t="s">
        <v>68</v>
      </c>
      <c r="I57" s="943">
        <f>IFERROR(ROUND(E56/I56,6),0)</f>
        <v>1.8810000000000001E-3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394.11000000000007</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2.117E-3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394.11000000000007</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1.833E-3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394.11000000000007</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2.1210000000000001E-3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1.833E-3</v>
      </c>
      <c r="J68" s="138">
        <f>ROUND(G68*I68,2)</f>
        <v>86683.94</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1.83E-3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2.1210000000000001E-3</v>
      </c>
      <c r="J71" s="138">
        <f>ROUND(G71*I71,2)</f>
        <v>40655.08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2.117E-3</v>
      </c>
      <c r="J72" s="138">
        <f>ROUND(G72*I72,2)</f>
        <v>24444.76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1.8810000000000001E-3</v>
      </c>
      <c r="J85" s="138">
        <f>ROUND(G85*I85,2)</f>
        <v>505643.42</v>
      </c>
      <c r="K85" s="70"/>
      <c r="L85" s="70"/>
      <c r="M85" s="71"/>
      <c r="N85" s="70"/>
      <c r="O85" s="70"/>
      <c r="P85" s="70"/>
      <c r="Q85" s="70"/>
      <c r="R85" s="860" t="s">
        <v>172</v>
      </c>
      <c r="S85" s="860"/>
      <c r="T85" s="860"/>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1.8810000000000001E-3</v>
      </c>
      <c r="J86" s="138">
        <f>ROUND(G86*I86,2)</f>
        <v>0</v>
      </c>
      <c r="K86" s="70"/>
      <c r="L86" s="71"/>
      <c r="M86" s="76"/>
      <c r="N86" s="76"/>
      <c r="O86" s="76"/>
      <c r="P86" s="76"/>
      <c r="Q86" s="70"/>
      <c r="R86" s="860" t="s">
        <v>173</v>
      </c>
      <c r="S86" s="860"/>
      <c r="T86" s="860"/>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1.83E-3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302.02050000000003</v>
      </c>
      <c r="C90" s="245"/>
      <c r="D90" s="867">
        <f>I6</f>
        <v>1.0355000000000001</v>
      </c>
      <c r="E90" s="867"/>
      <c r="F90" s="867"/>
      <c r="G90" s="122">
        <f>'[1]Detail 2025-26 FEFP Second'!AB3</f>
        <v>958.42</v>
      </c>
      <c r="H90" s="47" t="s">
        <v>68</v>
      </c>
      <c r="I90" s="141">
        <f>ROUND(B90*D90*G90,2)</f>
        <v>299738.40999999997</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128.90700000000001</v>
      </c>
      <c r="C91" s="245"/>
      <c r="D91" s="867">
        <f>I6</f>
        <v>1.0355000000000001</v>
      </c>
      <c r="E91" s="867"/>
      <c r="F91" s="867"/>
      <c r="G91" s="122">
        <f>'[1]Detail 2025-26 FEFP Second'!AC3</f>
        <v>915.09</v>
      </c>
      <c r="H91" s="47" t="s">
        <v>68</v>
      </c>
      <c r="I91" s="140">
        <f>ROUND(B91*D91*G91,2)</f>
        <v>122149.14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430.92750000000001</v>
      </c>
      <c r="C93" s="109"/>
      <c r="D93" s="109"/>
      <c r="E93" s="937" t="s">
        <v>112</v>
      </c>
      <c r="F93" s="937"/>
      <c r="G93" s="937"/>
      <c r="H93" s="937"/>
      <c r="I93" s="937"/>
      <c r="J93" s="127">
        <f>IF(A1=75,0,I92+I91+I90)</f>
        <v>421887.55</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1</v>
      </c>
      <c r="E97" s="989">
        <f>(C97+D97)/2</f>
        <v>0.5</v>
      </c>
      <c r="F97" s="940"/>
      <c r="G97" s="940"/>
      <c r="H97" s="224" t="s">
        <v>117</v>
      </c>
      <c r="I97" s="130">
        <f>IF(A1&gt;67,0,INDEX('[1]Transportation Per Student'!F$1:F$65536,MATCH(A1,'[1]Transportation Per Student'!B$1:B$65536)))</f>
        <v>617</v>
      </c>
      <c r="J97" s="138">
        <f>ROUND(I97*E97,2)</f>
        <v>308.5</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3525786.6299999994</v>
      </c>
      <c r="L107" s="576"/>
      <c r="R107" s="860" t="s">
        <v>125</v>
      </c>
      <c r="S107" s="860"/>
      <c r="T107" s="860"/>
      <c r="U107" s="860"/>
      <c r="V107" s="860"/>
      <c r="W107" s="860"/>
      <c r="X107" s="860"/>
      <c r="Y107" s="219">
        <f>SUM(Y106,Y105,Y97,Y96,Y93,Y86,Y85,Y84,Y70,Y69,Y67,Y33,Y71,Y50,Y87,Y83)</f>
        <v>0</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3350723.6499999994</v>
      </c>
      <c r="R109" s="170" t="s">
        <v>180</v>
      </c>
      <c r="S109" s="170"/>
      <c r="T109" s="170"/>
      <c r="U109" s="170"/>
      <c r="V109" s="170"/>
      <c r="W109" s="170"/>
      <c r="X109" s="170"/>
      <c r="Y109" s="220">
        <f>Y107-Y38</f>
        <v>0</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0</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3350723.6499999994</v>
      </c>
      <c r="J114" s="296">
        <f>ROUND(IF(E28=0,0,IF(E28&gt;250,-(((250/E28)*I114)*IF(H114="H",0.02,0.05)),IF(H114="H",-0.02*I114,-0.05*I114))),2)</f>
        <v>-106275.01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3419511.6199999996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Payments'!R117</f>
        <v>-1715692.3399999999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1703819.2799999998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283969.88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61261.17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109" workbookViewId="0">
      <selection activeCell="R35" sqref="R35:U3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478</v>
      </c>
      <c r="B2" s="102"/>
      <c r="C2" s="102"/>
      <c r="D2" s="102"/>
      <c r="E2" s="100"/>
      <c r="F2" s="100"/>
      <c r="G2" s="100"/>
      <c r="H2" s="100"/>
      <c r="I2" s="100"/>
      <c r="J2" s="100"/>
      <c r="K2" s="6"/>
      <c r="L2" s="6"/>
      <c r="M2" s="6"/>
      <c r="N2" s="6"/>
      <c r="O2" s="6"/>
      <c r="P2" s="6"/>
      <c r="Q2" s="6"/>
      <c r="R2" s="873" t="str">
        <f>Revenue_Estimate_Worksheet_for___________Charter_School</f>
        <v>Revenue Estimate Worksheet: Connections Education Center of the Palm Beaches - 4100</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Second'!$C$1:$C$65536,MATCH('4100'!$A$1,'[1]Detail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1.5</v>
      </c>
      <c r="D13" s="415">
        <v>1.5</v>
      </c>
      <c r="E13" s="965">
        <f t="shared" si="0"/>
        <v>3</v>
      </c>
      <c r="F13" s="965"/>
      <c r="G13" s="966">
        <v>1.1080000000000001</v>
      </c>
      <c r="H13" s="966"/>
      <c r="I13" s="578">
        <f t="shared" ref="I13:I27" si="2">ROUND(E13*G13,4)</f>
        <v>3.3239999999999998</v>
      </c>
      <c r="J13" s="579">
        <f t="shared" si="1"/>
        <v>18492.5</v>
      </c>
      <c r="L13" s="21"/>
      <c r="M13" s="2"/>
      <c r="R13" s="858" t="s">
        <v>21</v>
      </c>
      <c r="S13" s="858"/>
      <c r="T13" s="889">
        <f t="shared" ref="T13:T27" si="3">IF($I$111=1,E13,0)</f>
        <v>3</v>
      </c>
      <c r="U13" s="889"/>
      <c r="V13" s="894">
        <v>1</v>
      </c>
      <c r="W13" s="894"/>
      <c r="X13" s="156">
        <f t="shared" ref="X13:X27" si="4">ROUND(T13*V13,4)</f>
        <v>3</v>
      </c>
      <c r="Y13" s="266">
        <f t="shared" ref="Y13" si="5">ROUND(ROUND(ROUND(X13*$E$6,4)*($I$6),2)*(MAX($I$7,1)),2)</f>
        <v>16689.98</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1</v>
      </c>
      <c r="D15" s="415">
        <v>1</v>
      </c>
      <c r="E15" s="965">
        <f t="shared" si="0"/>
        <v>2</v>
      </c>
      <c r="F15" s="965"/>
      <c r="G15" s="966">
        <v>1</v>
      </c>
      <c r="H15" s="966"/>
      <c r="I15" s="578">
        <f t="shared" si="2"/>
        <v>2</v>
      </c>
      <c r="J15" s="579">
        <f t="shared" si="1"/>
        <v>11126.65</v>
      </c>
      <c r="M15" s="2"/>
      <c r="R15" s="858" t="s">
        <v>23</v>
      </c>
      <c r="S15" s="858"/>
      <c r="T15" s="889">
        <f t="shared" si="3"/>
        <v>2</v>
      </c>
      <c r="U15" s="889"/>
      <c r="V15" s="894">
        <v>1</v>
      </c>
      <c r="W15" s="894"/>
      <c r="X15" s="156">
        <f t="shared" si="4"/>
        <v>2</v>
      </c>
      <c r="Y15" s="266">
        <f t="shared" ref="Y15:Y27" si="6">ROUND(ROUND(ROUND(X15*$E$6,4)*($I$6),2)*(MAX($I$7,1)),2)</f>
        <v>11126.65</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12</v>
      </c>
      <c r="D18" s="415">
        <v>12</v>
      </c>
      <c r="E18" s="965">
        <f t="shared" si="0"/>
        <v>24</v>
      </c>
      <c r="F18" s="965"/>
      <c r="G18" s="966">
        <v>3.609</v>
      </c>
      <c r="H18" s="966"/>
      <c r="I18" s="578">
        <f t="shared" si="2"/>
        <v>86.616</v>
      </c>
      <c r="J18" s="579">
        <f t="shared" si="1"/>
        <v>481873.16</v>
      </c>
      <c r="M18" s="2"/>
      <c r="R18" s="858" t="s">
        <v>26</v>
      </c>
      <c r="S18" s="858"/>
      <c r="T18" s="889">
        <f t="shared" si="3"/>
        <v>24</v>
      </c>
      <c r="U18" s="889"/>
      <c r="V18" s="894">
        <v>1</v>
      </c>
      <c r="W18" s="894"/>
      <c r="X18" s="156">
        <f t="shared" si="4"/>
        <v>24</v>
      </c>
      <c r="Y18" s="266">
        <f t="shared" si="6"/>
        <v>133519.85999999999</v>
      </c>
    </row>
    <row r="19" spans="1:25" x14ac:dyDescent="0.25">
      <c r="A19" s="859" t="s">
        <v>27</v>
      </c>
      <c r="B19" s="859"/>
      <c r="C19" s="415">
        <v>7</v>
      </c>
      <c r="D19" s="415">
        <v>7</v>
      </c>
      <c r="E19" s="965">
        <f t="shared" si="0"/>
        <v>14</v>
      </c>
      <c r="F19" s="965"/>
      <c r="G19" s="966">
        <v>3.609</v>
      </c>
      <c r="H19" s="966"/>
      <c r="I19" s="578">
        <f t="shared" si="2"/>
        <v>50.526000000000003</v>
      </c>
      <c r="J19" s="579">
        <f t="shared" si="1"/>
        <v>281092.68</v>
      </c>
      <c r="M19" s="2"/>
      <c r="R19" s="858" t="s">
        <v>27</v>
      </c>
      <c r="S19" s="858"/>
      <c r="T19" s="889">
        <f t="shared" si="3"/>
        <v>14</v>
      </c>
      <c r="U19" s="889"/>
      <c r="V19" s="894">
        <v>1</v>
      </c>
      <c r="W19" s="894"/>
      <c r="X19" s="156">
        <f t="shared" si="4"/>
        <v>14</v>
      </c>
      <c r="Y19" s="266">
        <f t="shared" si="6"/>
        <v>77886.58</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16.5</v>
      </c>
      <c r="D21" s="415">
        <v>16.5</v>
      </c>
      <c r="E21" s="965">
        <f t="shared" si="0"/>
        <v>33</v>
      </c>
      <c r="F21" s="965"/>
      <c r="G21" s="966">
        <v>6.0640000000000001</v>
      </c>
      <c r="H21" s="966"/>
      <c r="I21" s="578">
        <f t="shared" si="2"/>
        <v>200.11199999999999</v>
      </c>
      <c r="J21" s="579">
        <f t="shared" si="1"/>
        <v>1113288.55</v>
      </c>
      <c r="M21" s="2"/>
      <c r="R21" s="858" t="s">
        <v>29</v>
      </c>
      <c r="S21" s="858"/>
      <c r="T21" s="889">
        <f t="shared" si="3"/>
        <v>33</v>
      </c>
      <c r="U21" s="889"/>
      <c r="V21" s="894">
        <v>1</v>
      </c>
      <c r="W21" s="894"/>
      <c r="X21" s="156">
        <f t="shared" si="4"/>
        <v>33</v>
      </c>
      <c r="Y21" s="266">
        <f t="shared" si="6"/>
        <v>183589.8</v>
      </c>
    </row>
    <row r="22" spans="1:25" ht="15" customHeight="1" x14ac:dyDescent="0.25">
      <c r="A22" s="859" t="s">
        <v>30</v>
      </c>
      <c r="B22" s="859"/>
      <c r="C22" s="415">
        <v>12.5</v>
      </c>
      <c r="D22" s="415">
        <v>12.5</v>
      </c>
      <c r="E22" s="965">
        <f t="shared" si="0"/>
        <v>25</v>
      </c>
      <c r="F22" s="965"/>
      <c r="G22" s="966">
        <v>6.0640000000000001</v>
      </c>
      <c r="H22" s="966"/>
      <c r="I22" s="578">
        <f t="shared" si="2"/>
        <v>151.6</v>
      </c>
      <c r="J22" s="579">
        <f t="shared" si="1"/>
        <v>843400.42</v>
      </c>
      <c r="M22" s="2"/>
      <c r="R22" s="858" t="s">
        <v>30</v>
      </c>
      <c r="S22" s="858"/>
      <c r="T22" s="889">
        <f t="shared" si="3"/>
        <v>25</v>
      </c>
      <c r="U22" s="889"/>
      <c r="V22" s="894">
        <v>1</v>
      </c>
      <c r="W22" s="894"/>
      <c r="X22" s="156">
        <f t="shared" si="4"/>
        <v>25</v>
      </c>
      <c r="Y22" s="266">
        <f t="shared" si="6"/>
        <v>139083.18</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50.5</v>
      </c>
      <c r="D28" s="126">
        <f>SUM(D12:D27)</f>
        <v>50.5</v>
      </c>
      <c r="E28" s="964">
        <f>SUM(E12:E27)</f>
        <v>101</v>
      </c>
      <c r="F28" s="964"/>
      <c r="G28" s="959"/>
      <c r="H28" s="959"/>
      <c r="I28" s="23">
        <f>SUM(I12:I27)</f>
        <v>494.178</v>
      </c>
      <c r="J28" s="127">
        <f>SUM(J12:J27)</f>
        <v>2749273.96</v>
      </c>
      <c r="M28" s="2"/>
      <c r="R28" s="905" t="s">
        <v>36</v>
      </c>
      <c r="S28" s="905"/>
      <c r="T28" s="906">
        <f>SUM(T12:T27)</f>
        <v>101</v>
      </c>
      <c r="U28" s="906"/>
      <c r="V28" s="907"/>
      <c r="W28" s="907"/>
      <c r="X28" s="158">
        <f>SUM(X12:X27)</f>
        <v>101</v>
      </c>
      <c r="Y28" s="266">
        <f>SUM(Y12:Y27)</f>
        <v>561896.05000000005</v>
      </c>
    </row>
    <row r="29" spans="1:25" ht="36"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494.178</v>
      </c>
      <c r="H33" s="959" t="s">
        <v>45</v>
      </c>
      <c r="I33" s="959"/>
      <c r="J33" s="32">
        <f>SUM(J32,J28)</f>
        <v>2749273.96</v>
      </c>
      <c r="M33" s="2"/>
      <c r="R33" s="909" t="s">
        <v>44</v>
      </c>
      <c r="S33" s="909"/>
      <c r="T33" s="909"/>
      <c r="U33" s="909"/>
      <c r="V33" s="164">
        <f>X28</f>
        <v>101</v>
      </c>
      <c r="W33" s="907" t="s">
        <v>45</v>
      </c>
      <c r="X33" s="907"/>
      <c r="Y33" s="165">
        <f>SUM(Y32,Y28)</f>
        <v>561896.05000000005</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2749273.96</v>
      </c>
      <c r="H36" s="223" t="s">
        <v>49</v>
      </c>
      <c r="I36" s="38">
        <v>6.6699999999999995E-2</v>
      </c>
      <c r="J36" s="131">
        <f>ROUND(G36*I36,2)</f>
        <v>183376.57</v>
      </c>
      <c r="K36" s="39"/>
      <c r="L36" s="233"/>
      <c r="M36" s="233"/>
      <c r="N36" s="233"/>
      <c r="O36" s="31"/>
      <c r="P36" s="232"/>
      <c r="Q36" s="232"/>
      <c r="R36" s="858" t="s">
        <v>47</v>
      </c>
      <c r="S36" s="858"/>
      <c r="T36" s="858"/>
      <c r="U36" s="253"/>
      <c r="V36" s="172">
        <v>561896.05000000005</v>
      </c>
      <c r="W36" s="239" t="s">
        <v>49</v>
      </c>
      <c r="X36" s="174">
        <v>6.6699999999999995E-2</v>
      </c>
      <c r="Y36" s="266">
        <f>J36</f>
        <v>183376.57</v>
      </c>
    </row>
    <row r="37" spans="1:25" ht="20.25" customHeight="1" x14ac:dyDescent="0.25">
      <c r="A37" s="859" t="s">
        <v>50</v>
      </c>
      <c r="B37" s="859"/>
      <c r="C37" s="859"/>
      <c r="D37" s="859"/>
      <c r="E37" s="859"/>
      <c r="F37" s="248" t="s">
        <v>48</v>
      </c>
      <c r="G37" s="453">
        <v>2749273.96</v>
      </c>
      <c r="H37" s="223" t="s">
        <v>49</v>
      </c>
      <c r="I37" s="38">
        <v>5.4000000000000003E-3</v>
      </c>
      <c r="J37" s="131">
        <f>ROUND(G37*I37,2)</f>
        <v>14846.08</v>
      </c>
      <c r="K37" s="39"/>
      <c r="L37" s="233"/>
      <c r="M37" s="233"/>
      <c r="N37" s="233"/>
      <c r="O37" s="31"/>
      <c r="P37" s="232"/>
      <c r="Q37" s="232"/>
      <c r="R37" s="858" t="s">
        <v>50</v>
      </c>
      <c r="S37" s="858"/>
      <c r="T37" s="858"/>
      <c r="U37" s="253"/>
      <c r="V37" s="172">
        <v>561896.05000000005</v>
      </c>
      <c r="W37" s="239" t="s">
        <v>49</v>
      </c>
      <c r="X37" s="174">
        <v>5.4000000000000003E-3</v>
      </c>
      <c r="Y37" s="266">
        <f>J37</f>
        <v>14846.08</v>
      </c>
    </row>
    <row r="38" spans="1:25" ht="20.25" customHeight="1" x14ac:dyDescent="0.25">
      <c r="A38" s="896" t="s">
        <v>51</v>
      </c>
      <c r="B38" s="896"/>
      <c r="C38" s="896"/>
      <c r="D38" s="896"/>
      <c r="E38" s="896"/>
      <c r="F38" s="248" t="s">
        <v>52</v>
      </c>
      <c r="G38" s="40"/>
      <c r="H38" s="223"/>
      <c r="I38" s="41"/>
      <c r="J38" s="131">
        <f>SUM(J36:J37)</f>
        <v>198222.65</v>
      </c>
      <c r="K38" s="39"/>
      <c r="L38" s="233"/>
      <c r="M38" s="233"/>
      <c r="N38" s="233"/>
      <c r="O38" s="31"/>
      <c r="P38" s="232"/>
      <c r="Q38" s="232"/>
      <c r="R38" s="860" t="s">
        <v>51</v>
      </c>
      <c r="S38" s="860"/>
      <c r="T38" s="860"/>
      <c r="U38" s="253" t="s">
        <v>52</v>
      </c>
      <c r="V38" s="175"/>
      <c r="W38" s="239"/>
      <c r="X38" s="176"/>
      <c r="Y38" s="157">
        <f>Y36+Y37</f>
        <v>198222.65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727">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727">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1.5</v>
      </c>
      <c r="D43" s="415">
        <v>1.5</v>
      </c>
      <c r="E43" s="952">
        <f t="shared" si="7"/>
        <v>3</v>
      </c>
      <c r="F43" s="952"/>
      <c r="G43" s="223" t="s">
        <v>59</v>
      </c>
      <c r="H43" s="223">
        <v>253</v>
      </c>
      <c r="I43" s="136">
        <f>INDEX('[1]111-112-113 ADDITIONAL FUND'!F$1:F$65536,MATCH($A$1,'[1]111-112-113 ADDITIONAL FUND'!A$1:A$65536))</f>
        <v>6896</v>
      </c>
      <c r="J43" s="727">
        <f t="shared" si="8"/>
        <v>20688</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72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727">
        <f t="shared" si="8"/>
        <v>0</v>
      </c>
      <c r="M45" s="2"/>
      <c r="R45" s="901"/>
      <c r="S45" s="901"/>
      <c r="T45" s="903"/>
      <c r="U45" s="903"/>
      <c r="V45" s="182" t="s">
        <v>60</v>
      </c>
      <c r="W45" s="239">
        <v>252</v>
      </c>
      <c r="X45" s="134">
        <f t="shared" si="9"/>
        <v>3506</v>
      </c>
      <c r="Y45" s="269">
        <f t="shared" si="10"/>
        <v>0</v>
      </c>
    </row>
    <row r="46" spans="1:25" x14ac:dyDescent="0.25">
      <c r="A46" s="958"/>
      <c r="B46" s="958"/>
      <c r="C46" s="415">
        <v>1</v>
      </c>
      <c r="D46" s="415">
        <v>1</v>
      </c>
      <c r="E46" s="952">
        <f t="shared" si="7"/>
        <v>2</v>
      </c>
      <c r="F46" s="952"/>
      <c r="G46" s="47" t="s">
        <v>60</v>
      </c>
      <c r="H46" s="223">
        <v>253</v>
      </c>
      <c r="I46" s="136">
        <f>INDEX('[1]111-112-113 ADDITIONAL FUND'!I$1:I$65536,MATCH($A$1,'[1]111-112-113 ADDITIONAL FUND'!A$1:A$65536))</f>
        <v>7023</v>
      </c>
      <c r="J46" s="727">
        <f t="shared" si="8"/>
        <v>14046</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727">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727">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727">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2.5</v>
      </c>
      <c r="D50" s="585">
        <f>SUM(D41:D49)</f>
        <v>2.5</v>
      </c>
      <c r="E50" s="954">
        <f>SUM(E41:E49)</f>
        <v>5</v>
      </c>
      <c r="F50" s="954"/>
      <c r="G50" s="910" t="s">
        <v>63</v>
      </c>
      <c r="H50" s="910"/>
      <c r="I50" s="910"/>
      <c r="J50" s="276">
        <f>SUM(J41:J49)</f>
        <v>34734</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101</v>
      </c>
      <c r="U52" s="184" t="s">
        <v>66</v>
      </c>
      <c r="V52" s="185"/>
      <c r="W52" s="186" t="s">
        <v>67</v>
      </c>
      <c r="X52" s="917">
        <f>I53</f>
        <v>215320.92</v>
      </c>
      <c r="Y52" s="917"/>
    </row>
    <row r="53" spans="1:25" ht="16.5" customHeight="1" x14ac:dyDescent="0.25">
      <c r="A53" s="897" t="s">
        <v>65</v>
      </c>
      <c r="B53" s="897"/>
      <c r="C53" s="237"/>
      <c r="D53" s="237"/>
      <c r="E53" s="48">
        <f>E28</f>
        <v>101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4.6900000000000002E-4</v>
      </c>
      <c r="Y53" s="918"/>
    </row>
    <row r="54" spans="1:25" ht="22.5" customHeight="1" x14ac:dyDescent="0.25">
      <c r="A54" s="237"/>
      <c r="B54" s="230"/>
      <c r="C54" s="230"/>
      <c r="D54" s="230"/>
      <c r="H54" s="53" t="s">
        <v>68</v>
      </c>
      <c r="I54" s="943">
        <f>IFERROR(ROUND(E53/I53,6),0)</f>
        <v>4.6900000000000002E-4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T28</f>
        <v>101</v>
      </c>
      <c r="U55" s="184" t="s">
        <v>66</v>
      </c>
      <c r="V55" s="185"/>
      <c r="W55" s="186" t="s">
        <v>71</v>
      </c>
      <c r="X55" s="917">
        <f>I56</f>
        <v>229051.25000000003</v>
      </c>
      <c r="Y55" s="917"/>
    </row>
    <row r="56" spans="1:25" ht="16.5" customHeight="1" x14ac:dyDescent="0.25">
      <c r="A56" s="897" t="s">
        <v>70</v>
      </c>
      <c r="B56" s="897"/>
      <c r="C56" s="237"/>
      <c r="D56" s="237"/>
      <c r="E56" s="48">
        <f>G33</f>
        <v>494.178</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4.4099999999999999E-4</v>
      </c>
      <c r="Y56" s="918"/>
    </row>
    <row r="57" spans="1:25" ht="18.75" customHeight="1" x14ac:dyDescent="0.25">
      <c r="A57" s="237"/>
      <c r="H57" s="53" t="s">
        <v>68</v>
      </c>
      <c r="I57" s="943">
        <f>IFERROR(ROUND(E56/I56,6),0)</f>
        <v>2.1570000000000001E-3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101</v>
      </c>
      <c r="U58" s="184" t="s">
        <v>66</v>
      </c>
      <c r="V58" s="916" t="s">
        <v>74</v>
      </c>
      <c r="W58" s="916"/>
      <c r="X58" s="917">
        <f>I59</f>
        <v>186156.17</v>
      </c>
      <c r="Y58" s="917"/>
    </row>
    <row r="59" spans="1:25" ht="18.75" customHeight="1" x14ac:dyDescent="0.25">
      <c r="A59" s="897" t="s">
        <v>73</v>
      </c>
      <c r="B59" s="897"/>
      <c r="C59" s="237"/>
      <c r="D59" s="237"/>
      <c r="E59" s="48">
        <f>E28</f>
        <v>101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5.4299999999999997E-4</v>
      </c>
      <c r="Y59" s="918"/>
    </row>
    <row r="60" spans="1:25" ht="18" customHeight="1" x14ac:dyDescent="0.25">
      <c r="A60" s="237"/>
      <c r="H60" s="53" t="s">
        <v>68</v>
      </c>
      <c r="I60" s="943">
        <f>IFERROR(ROUND(E59/I59,6),0)</f>
        <v>5.4299999999999997E-4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101</v>
      </c>
      <c r="U61" s="184" t="s">
        <v>66</v>
      </c>
      <c r="V61" s="916" t="s">
        <v>76</v>
      </c>
      <c r="W61" s="916"/>
      <c r="X61" s="917">
        <f>I62</f>
        <v>215016.58000000002</v>
      </c>
      <c r="Y61" s="917"/>
    </row>
    <row r="62" spans="1:25" ht="30.75" customHeight="1" x14ac:dyDescent="0.25">
      <c r="A62" s="897" t="s">
        <v>73</v>
      </c>
      <c r="B62" s="897"/>
      <c r="C62" s="237"/>
      <c r="D62" s="237"/>
      <c r="E62" s="48">
        <f>E28</f>
        <v>101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4.6999999999999999E-4</v>
      </c>
      <c r="Y62" s="918"/>
    </row>
    <row r="63" spans="1:25" ht="19.5" customHeight="1" x14ac:dyDescent="0.25">
      <c r="A63" s="237"/>
      <c r="H63" s="53" t="s">
        <v>68</v>
      </c>
      <c r="I63" s="943">
        <f>IFERROR(ROUND(E62/I62,6),0)</f>
        <v>4.6999999999999999E-4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101</v>
      </c>
      <c r="U64" s="184" t="s">
        <v>66</v>
      </c>
      <c r="V64" s="916" t="s">
        <v>165</v>
      </c>
      <c r="W64" s="916"/>
      <c r="X64" s="917">
        <f>I65</f>
        <v>185851.83000000002</v>
      </c>
      <c r="Y64" s="917"/>
    </row>
    <row r="65" spans="1:26" ht="49.5" customHeight="1" x14ac:dyDescent="0.25">
      <c r="A65" s="897" t="s">
        <v>73</v>
      </c>
      <c r="B65" s="897"/>
      <c r="C65" s="237"/>
      <c r="D65" s="237"/>
      <c r="E65" s="48">
        <f>E28</f>
        <v>101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5.4299999999999997E-4</v>
      </c>
      <c r="Y65" s="918"/>
    </row>
    <row r="66" spans="1:26" ht="19.5" customHeight="1" x14ac:dyDescent="0.25">
      <c r="A66" s="237"/>
      <c r="H66" s="53" t="s">
        <v>68</v>
      </c>
      <c r="I66" s="943">
        <f>IFERROR(ROUND(E65/I65,6),0)</f>
        <v>5.4299999999999997E-4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4.6999999999999999E-4</v>
      </c>
      <c r="Y67" s="271">
        <f>ROUND(V67*X67,2)</f>
        <v>22226.65</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4.6999999999999999E-4</v>
      </c>
      <c r="J68" s="138">
        <f>ROUND(G68*I68,2)</f>
        <v>22226.65</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4.6900000000000002E-4</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4.6900000000000002E-4</v>
      </c>
      <c r="J70" s="138">
        <f>ROUND(G70*I70,2)</f>
        <v>0</v>
      </c>
      <c r="M70" s="2"/>
      <c r="R70" s="860" t="s">
        <v>167</v>
      </c>
      <c r="S70" s="860"/>
      <c r="T70" s="860"/>
      <c r="U70" s="253"/>
      <c r="V70" s="193">
        <f>G71</f>
        <v>19167881</v>
      </c>
      <c r="W70" s="239" t="s">
        <v>81</v>
      </c>
      <c r="X70" s="176">
        <f>X65</f>
        <v>5.4299999999999997E-4</v>
      </c>
      <c r="Y70" s="266">
        <f t="shared" si="11"/>
        <v>10408.16</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5.4299999999999997E-4</v>
      </c>
      <c r="J71" s="138">
        <f>ROUND(G71*I71,2)</f>
        <v>10408.16</v>
      </c>
      <c r="M71" s="2"/>
      <c r="R71" s="240" t="s">
        <v>168</v>
      </c>
      <c r="S71" s="240"/>
      <c r="T71" s="240"/>
      <c r="U71" s="253"/>
      <c r="V71" s="171">
        <f>G72</f>
        <v>11546889</v>
      </c>
      <c r="W71" s="239" t="s">
        <v>81</v>
      </c>
      <c r="X71" s="176">
        <f>X59</f>
        <v>5.4299999999999997E-4</v>
      </c>
      <c r="Y71" s="266">
        <f t="shared" si="11"/>
        <v>6269.96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5.4299999999999997E-4</v>
      </c>
      <c r="J72" s="138">
        <f>ROUND(G72*I72,2)</f>
        <v>6269.96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2.1570000000000001E-3</v>
      </c>
      <c r="J85" s="138">
        <f>ROUND(G85*I85,2)</f>
        <v>579836.71</v>
      </c>
      <c r="K85" s="70"/>
      <c r="L85" s="70"/>
      <c r="M85" s="71"/>
      <c r="N85" s="70"/>
      <c r="O85" s="70"/>
      <c r="P85" s="70"/>
      <c r="Q85" s="70"/>
      <c r="R85" s="860" t="s">
        <v>172</v>
      </c>
      <c r="S85" s="860"/>
      <c r="T85" s="860"/>
      <c r="U85" s="253"/>
      <c r="V85" s="171">
        <f>G85</f>
        <v>268816278</v>
      </c>
      <c r="W85" s="239" t="s">
        <v>81</v>
      </c>
      <c r="X85" s="176">
        <f>X56</f>
        <v>4.4099999999999999E-4</v>
      </c>
      <c r="Y85" s="266">
        <f t="shared" ref="Y85:Y87" si="12">ROUND(V85*X85,2)</f>
        <v>118547.98</v>
      </c>
    </row>
    <row r="86" spans="1:26" ht="14.25" customHeight="1" x14ac:dyDescent="0.25">
      <c r="A86" s="896" t="s">
        <v>104</v>
      </c>
      <c r="B86" s="896"/>
      <c r="C86" s="896"/>
      <c r="D86" s="896"/>
      <c r="E86" s="896"/>
      <c r="F86" s="248" t="s">
        <v>103</v>
      </c>
      <c r="G86" s="139">
        <v>0</v>
      </c>
      <c r="H86" s="223" t="s">
        <v>81</v>
      </c>
      <c r="I86" s="41">
        <f>I57</f>
        <v>2.1570000000000001E-3</v>
      </c>
      <c r="J86" s="138">
        <f>ROUND(G86*I86,2)</f>
        <v>0</v>
      </c>
      <c r="K86" s="70"/>
      <c r="L86" s="71"/>
      <c r="M86" s="76"/>
      <c r="N86" s="76"/>
      <c r="O86" s="76"/>
      <c r="P86" s="76"/>
      <c r="Q86" s="70"/>
      <c r="R86" s="860" t="s">
        <v>173</v>
      </c>
      <c r="S86" s="860"/>
      <c r="T86" s="860"/>
      <c r="U86" s="253"/>
      <c r="V86" s="203">
        <f>G86</f>
        <v>0</v>
      </c>
      <c r="W86" s="239" t="s">
        <v>81</v>
      </c>
      <c r="X86" s="176">
        <f>X56</f>
        <v>4.4099999999999999E-4</v>
      </c>
      <c r="Y86" s="266">
        <f t="shared" si="12"/>
        <v>0</v>
      </c>
    </row>
    <row r="87" spans="1:26" ht="18" customHeight="1" x14ac:dyDescent="0.25">
      <c r="A87" s="896" t="s">
        <v>105</v>
      </c>
      <c r="B87" s="896"/>
      <c r="C87" s="896"/>
      <c r="D87" s="896"/>
      <c r="E87" s="896"/>
      <c r="F87" s="248" t="s">
        <v>84</v>
      </c>
      <c r="G87" s="139">
        <v>0</v>
      </c>
      <c r="H87" s="223" t="s">
        <v>81</v>
      </c>
      <c r="I87" s="41">
        <f>I54</f>
        <v>4.6900000000000002E-4</v>
      </c>
      <c r="J87" s="62">
        <f>ROUND(G87*I87,2)</f>
        <v>0</v>
      </c>
      <c r="K87" s="77"/>
      <c r="L87" s="70"/>
      <c r="M87" s="71"/>
      <c r="N87" s="70"/>
      <c r="O87" s="70"/>
      <c r="P87" s="70"/>
      <c r="Q87" s="70"/>
      <c r="R87" s="240" t="s">
        <v>174</v>
      </c>
      <c r="S87" s="240"/>
      <c r="T87" s="240"/>
      <c r="U87" s="253"/>
      <c r="V87" s="203">
        <f>G87</f>
        <v>0</v>
      </c>
      <c r="W87" s="239" t="s">
        <v>81</v>
      </c>
      <c r="X87" s="176">
        <f>X53</f>
        <v>4.6900000000000002E-4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290.05200000000002</v>
      </c>
      <c r="C90" s="245"/>
      <c r="D90" s="867">
        <f>I6</f>
        <v>1.0355000000000001</v>
      </c>
      <c r="E90" s="867"/>
      <c r="F90" s="867"/>
      <c r="G90" s="122">
        <f>'[1]Detail 2025-26 FEFP Second'!AB3</f>
        <v>958.42</v>
      </c>
      <c r="H90" s="47" t="s">
        <v>68</v>
      </c>
      <c r="I90" s="141">
        <f>ROUND(B90*D90*G90,2)</f>
        <v>287860.34000000003</v>
      </c>
      <c r="J90" s="81"/>
      <c r="K90" s="70"/>
      <c r="L90" s="70"/>
      <c r="M90" s="71"/>
      <c r="N90" s="70"/>
      <c r="O90" s="70"/>
      <c r="P90" s="70"/>
      <c r="Q90" s="70"/>
      <c r="R90" s="238" t="s">
        <v>110</v>
      </c>
      <c r="S90" s="251">
        <f>X12+X13+X18+X21+X24</f>
        <v>60</v>
      </c>
      <c r="T90" s="922">
        <f>X6</f>
        <v>1.0355000000000001</v>
      </c>
      <c r="U90" s="922"/>
      <c r="V90" s="122">
        <f>G90</f>
        <v>958.42</v>
      </c>
      <c r="W90" s="182" t="s">
        <v>68</v>
      </c>
      <c r="X90" s="272">
        <f>ROUND(S90*T90*V90,2)</f>
        <v>59546.63</v>
      </c>
      <c r="Y90" s="205"/>
    </row>
    <row r="91" spans="1:26" ht="21" customHeight="1" x14ac:dyDescent="0.25">
      <c r="A91" s="82" t="s">
        <v>60</v>
      </c>
      <c r="B91" s="245">
        <f>I14+I15+I19+I22+I25</f>
        <v>204.126</v>
      </c>
      <c r="C91" s="245"/>
      <c r="D91" s="867">
        <f>I6</f>
        <v>1.0355000000000001</v>
      </c>
      <c r="E91" s="867"/>
      <c r="F91" s="867"/>
      <c r="G91" s="122">
        <f>'[1]Detail 2025-26 FEFP Second'!AC3</f>
        <v>915.09</v>
      </c>
      <c r="H91" s="47" t="s">
        <v>68</v>
      </c>
      <c r="I91" s="140">
        <f>ROUND(B91*D91*G91,2)</f>
        <v>193424.84</v>
      </c>
      <c r="K91" s="70"/>
      <c r="L91" s="70"/>
      <c r="M91" s="71"/>
      <c r="N91" s="70"/>
      <c r="O91" s="70"/>
      <c r="P91" s="70"/>
      <c r="Q91" s="70"/>
      <c r="R91" s="206" t="s">
        <v>60</v>
      </c>
      <c r="S91" s="251">
        <f>X14+X15+X19+X22+X25</f>
        <v>41</v>
      </c>
      <c r="T91" s="922">
        <f>X6</f>
        <v>1.0355000000000001</v>
      </c>
      <c r="U91" s="922"/>
      <c r="V91" s="122">
        <f>G91</f>
        <v>915.09</v>
      </c>
      <c r="W91" s="182" t="s">
        <v>68</v>
      </c>
      <c r="X91" s="272">
        <f>ROUND(S91*T91*V91,2)</f>
        <v>38850.6</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494.178</v>
      </c>
      <c r="C93" s="109"/>
      <c r="D93" s="109"/>
      <c r="E93" s="937" t="s">
        <v>112</v>
      </c>
      <c r="F93" s="937"/>
      <c r="G93" s="937"/>
      <c r="H93" s="937"/>
      <c r="I93" s="937"/>
      <c r="J93" s="127">
        <f>IF(A1=75,0,I92+I91+I90)</f>
        <v>481285.18000000005</v>
      </c>
      <c r="K93" s="70"/>
      <c r="L93" s="70"/>
      <c r="M93" s="71"/>
      <c r="N93" s="70"/>
      <c r="O93" s="70"/>
      <c r="P93" s="70"/>
      <c r="Q93" s="70"/>
      <c r="R93" s="252" t="s">
        <v>111</v>
      </c>
      <c r="S93" s="210">
        <f>SUM(S90:S92)</f>
        <v>101</v>
      </c>
      <c r="T93" s="923" t="s">
        <v>112</v>
      </c>
      <c r="U93" s="924"/>
      <c r="V93" s="924"/>
      <c r="W93" s="924"/>
      <c r="X93" s="924"/>
      <c r="Y93" s="266">
        <f>IF(R1=75,0,X92+X91+X90)</f>
        <v>98397.23</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3884034.62</v>
      </c>
      <c r="L107" s="576"/>
      <c r="R107" s="860" t="s">
        <v>125</v>
      </c>
      <c r="S107" s="860"/>
      <c r="T107" s="860"/>
      <c r="U107" s="860"/>
      <c r="V107" s="860"/>
      <c r="W107" s="860"/>
      <c r="X107" s="860"/>
      <c r="Y107" s="723">
        <f>SUM(Y106,Y105,Y97,Y96,Y93,Y86,Y85,Y84,Y70,Y69,Y67,Y33,Y71,Y50,Y87,Y83)</f>
        <v>817746.03</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3685811.97</v>
      </c>
      <c r="R109" s="170" t="s">
        <v>180</v>
      </c>
      <c r="S109" s="170"/>
      <c r="T109" s="170"/>
      <c r="U109" s="170"/>
      <c r="V109" s="170"/>
      <c r="W109" s="170"/>
      <c r="X109" s="170"/>
      <c r="Y109" s="724">
        <f>Y107-Y38</f>
        <v>619523.38</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v>1</v>
      </c>
      <c r="J111" s="137">
        <f>Y109</f>
        <v>619523.38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619523.38</v>
      </c>
      <c r="J114" s="296">
        <f>ROUND(IF(E28=0,0,IF(E28&gt;250,-(((250/E28)*I114)*IF(H114="H",0.02,0.05)),IF(H114="H",-0.02*I114,-0.05*I114))),2)</f>
        <v>-30976.17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3853058.45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Payments'!R118</f>
        <v>-1919685.7339999997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1933372.7160000005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322228.78999999998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84"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479</v>
      </c>
      <c r="B2" s="102"/>
      <c r="C2" s="102"/>
      <c r="D2" s="102"/>
      <c r="E2" s="100"/>
      <c r="F2" s="100"/>
      <c r="G2" s="100"/>
      <c r="H2" s="100"/>
      <c r="I2" s="100"/>
      <c r="J2" s="100"/>
      <c r="K2" s="6"/>
      <c r="L2" s="6"/>
      <c r="M2" s="6"/>
      <c r="N2" s="6"/>
      <c r="O2" s="6"/>
      <c r="P2" s="6"/>
      <c r="Q2" s="6"/>
      <c r="R2" s="873" t="str">
        <f>Revenue_Estimate_Worksheet_for___________Charter_School</f>
        <v>Revenue Estimate Worksheet: BridgePrep Academy of PB - 4102</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Second'!$C$1:$C$65536,MATCH('4102'!$A$1,'[1]Detail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60.5</v>
      </c>
      <c r="D12" s="411">
        <v>60.5</v>
      </c>
      <c r="E12" s="979">
        <f t="shared" ref="E12:E27" si="0">IF($D$28=0,C12*2,C12+D12)</f>
        <v>121</v>
      </c>
      <c r="F12" s="979"/>
      <c r="G12" s="980">
        <v>1.1080000000000001</v>
      </c>
      <c r="H12" s="980"/>
      <c r="I12" s="578">
        <f>ROUND(E12*G12,4)</f>
        <v>134.06800000000001</v>
      </c>
      <c r="J12" s="579">
        <f t="shared" ref="J12:J27" si="1">ROUND(ROUND(ROUND(I12*$E$6,4)*($I$6),2)*(MAX($I$7,1)),2)</f>
        <v>745864.16</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30</v>
      </c>
      <c r="D14" s="415">
        <v>30</v>
      </c>
      <c r="E14" s="965">
        <f t="shared" si="0"/>
        <v>60</v>
      </c>
      <c r="F14" s="965"/>
      <c r="G14" s="966">
        <v>1</v>
      </c>
      <c r="H14" s="966"/>
      <c r="I14" s="578">
        <f t="shared" si="2"/>
        <v>60</v>
      </c>
      <c r="J14" s="579">
        <f>ROUND(ROUND(ROUND(I14*$E$6,4)*($I$6),2)*(MAX($I$7,1)),2)</f>
        <v>333799.64</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0</v>
      </c>
      <c r="D16" s="415">
        <v>0</v>
      </c>
      <c r="E16" s="965">
        <f t="shared" si="0"/>
        <v>0</v>
      </c>
      <c r="F16" s="965"/>
      <c r="G16" s="966">
        <v>0.97199999999999998</v>
      </c>
      <c r="H16" s="966"/>
      <c r="I16" s="578">
        <f t="shared" si="2"/>
        <v>0</v>
      </c>
      <c r="J16" s="579">
        <f t="shared" si="1"/>
        <v>0</v>
      </c>
      <c r="M16" s="2"/>
      <c r="R16" s="858" t="s">
        <v>24</v>
      </c>
      <c r="S16" s="858"/>
      <c r="T16" s="889">
        <f t="shared" si="3"/>
        <v>0</v>
      </c>
      <c r="U16" s="889"/>
      <c r="V16" s="894">
        <v>1</v>
      </c>
      <c r="W16" s="894"/>
      <c r="X16" s="156">
        <f t="shared" si="4"/>
        <v>0</v>
      </c>
      <c r="Y16" s="266">
        <f t="shared" si="6"/>
        <v>0</v>
      </c>
    </row>
    <row r="17" spans="1:25" x14ac:dyDescent="0.25">
      <c r="A17" s="859" t="s">
        <v>25</v>
      </c>
      <c r="B17" s="859"/>
      <c r="C17" s="415">
        <v>0</v>
      </c>
      <c r="D17" s="415">
        <v>0</v>
      </c>
      <c r="E17" s="965">
        <f t="shared" si="0"/>
        <v>0</v>
      </c>
      <c r="F17" s="965"/>
      <c r="G17" s="966">
        <v>0.97199999999999998</v>
      </c>
      <c r="H17" s="966"/>
      <c r="I17" s="578">
        <f t="shared" si="2"/>
        <v>0</v>
      </c>
      <c r="J17" s="579">
        <f t="shared" si="1"/>
        <v>0</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0</v>
      </c>
      <c r="D26" s="415">
        <v>0</v>
      </c>
      <c r="E26" s="965">
        <f t="shared" si="0"/>
        <v>0</v>
      </c>
      <c r="F26" s="965"/>
      <c r="G26" s="966">
        <v>1.165</v>
      </c>
      <c r="H26" s="966"/>
      <c r="I26" s="578">
        <f t="shared" si="2"/>
        <v>0</v>
      </c>
      <c r="J26" s="579">
        <f t="shared" si="1"/>
        <v>0</v>
      </c>
      <c r="M26" s="2"/>
      <c r="R26" s="858" t="s">
        <v>34</v>
      </c>
      <c r="S26" s="858"/>
      <c r="T26" s="889">
        <f t="shared" si="3"/>
        <v>0</v>
      </c>
      <c r="U26" s="889"/>
      <c r="V26" s="894">
        <v>1</v>
      </c>
      <c r="W26" s="894"/>
      <c r="X26" s="156">
        <f t="shared" si="4"/>
        <v>0</v>
      </c>
      <c r="Y26" s="266">
        <f t="shared" si="6"/>
        <v>0</v>
      </c>
    </row>
    <row r="27" spans="1:25" x14ac:dyDescent="0.25">
      <c r="A27" s="864" t="s">
        <v>35</v>
      </c>
      <c r="B27" s="864"/>
      <c r="C27" s="416">
        <v>0</v>
      </c>
      <c r="D27" s="416">
        <v>0</v>
      </c>
      <c r="E27" s="961">
        <f t="shared" si="0"/>
        <v>0</v>
      </c>
      <c r="F27" s="961"/>
      <c r="G27" s="962">
        <v>1.081</v>
      </c>
      <c r="H27" s="962"/>
      <c r="I27" s="22">
        <f t="shared" si="2"/>
        <v>0</v>
      </c>
      <c r="J27" s="127">
        <f t="shared" si="1"/>
        <v>0</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26">
        <f>SUM(C12:C27)</f>
        <v>90.5</v>
      </c>
      <c r="D28" s="126">
        <f>SUM(D12:D27)</f>
        <v>90.5</v>
      </c>
      <c r="E28" s="964">
        <f>SUM(E12:E27)</f>
        <v>181</v>
      </c>
      <c r="F28" s="964"/>
      <c r="G28" s="959"/>
      <c r="H28" s="959"/>
      <c r="I28" s="23">
        <f>SUM(I12:I27)</f>
        <v>194.06800000000001</v>
      </c>
      <c r="J28" s="127">
        <f>SUM(J12:J27)</f>
        <v>1079663.8</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194.06800000000001</v>
      </c>
      <c r="H33" s="959" t="s">
        <v>45</v>
      </c>
      <c r="I33" s="959"/>
      <c r="J33" s="32">
        <f>SUM(J32,J28)</f>
        <v>1079663.8</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845581.24</v>
      </c>
      <c r="H36" s="223" t="s">
        <v>49</v>
      </c>
      <c r="I36" s="38">
        <v>6.6699999999999995E-2</v>
      </c>
      <c r="J36" s="131">
        <f>ROUND(G36*I36,2)</f>
        <v>56400.27</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845581.24</v>
      </c>
      <c r="H37" s="223" t="s">
        <v>49</v>
      </c>
      <c r="I37" s="38">
        <v>5.4000000000000003E-3</v>
      </c>
      <c r="J37" s="131">
        <f>ROUND(G37*I37,2)</f>
        <v>4566.1400000000003</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60966.409999999996</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0</v>
      </c>
      <c r="D47" s="415">
        <v>0</v>
      </c>
      <c r="E47" s="952">
        <f t="shared" si="7"/>
        <v>0</v>
      </c>
      <c r="F47" s="952"/>
      <c r="G47" s="47" t="s">
        <v>61</v>
      </c>
      <c r="H47" s="223">
        <v>251</v>
      </c>
      <c r="I47" s="136">
        <f>INDEX('[1]111-112-113 ADDITIONAL FUND'!J$1:J$65536,MATCH($A$1,'[1]111-112-113 ADDITIONAL FUND'!A$1:A$65536))</f>
        <v>835</v>
      </c>
      <c r="J47" s="46">
        <f t="shared" si="8"/>
        <v>0</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0</v>
      </c>
      <c r="D50" s="585">
        <f>SUM(D41:D49)</f>
        <v>0</v>
      </c>
      <c r="E50" s="954">
        <f>SUM(E41:E49)</f>
        <v>0</v>
      </c>
      <c r="F50" s="954"/>
      <c r="G50" s="910" t="s">
        <v>63</v>
      </c>
      <c r="H50" s="910"/>
      <c r="I50" s="910"/>
      <c r="J50" s="276">
        <f>SUM(J41:J49)</f>
        <v>0</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181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8.4099999999999995E-4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194.06800000000001</v>
      </c>
      <c r="U55" s="184" t="s">
        <v>66</v>
      </c>
      <c r="V55" s="185"/>
      <c r="W55" s="186" t="s">
        <v>71</v>
      </c>
      <c r="X55" s="917">
        <f>I56</f>
        <v>229051.25000000003</v>
      </c>
      <c r="Y55" s="917"/>
    </row>
    <row r="56" spans="1:25" ht="16.5" customHeight="1" x14ac:dyDescent="0.25">
      <c r="A56" s="897" t="s">
        <v>70</v>
      </c>
      <c r="B56" s="897"/>
      <c r="C56" s="237"/>
      <c r="D56" s="237"/>
      <c r="E56" s="48">
        <f>G33</f>
        <v>194.06800000000001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8.4699999999999999E-4</v>
      </c>
      <c r="Y56" s="918"/>
    </row>
    <row r="57" spans="1:25" ht="18.75" customHeight="1" x14ac:dyDescent="0.25">
      <c r="A57" s="237"/>
      <c r="H57" s="53" t="s">
        <v>68</v>
      </c>
      <c r="I57" s="943">
        <f>IFERROR(ROUND(E56/I56,6),0)</f>
        <v>8.4699999999999999E-4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181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9.7199999999999999E-4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181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8.4199999999999998E-4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181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9.7400000000000004E-4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8.4199999999999998E-4</v>
      </c>
      <c r="J68" s="138">
        <f>ROUND(G68*I68,2)</f>
        <v>39818.81</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8.4099999999999995E-4</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9.7400000000000004E-4</v>
      </c>
      <c r="J71" s="138">
        <f>ROUND(G71*I71,2)</f>
        <v>18669.52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9.7199999999999999E-4</v>
      </c>
      <c r="J72" s="138">
        <f>ROUND(G72*I72,2)</f>
        <v>11223.58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8.4699999999999999E-4</v>
      </c>
      <c r="J85" s="138">
        <f>ROUND(G85*I85,2)</f>
        <v>227687.39</v>
      </c>
      <c r="K85" s="70"/>
      <c r="L85" s="70"/>
      <c r="M85" s="71"/>
      <c r="N85" s="70"/>
      <c r="O85" s="70"/>
      <c r="P85" s="70"/>
      <c r="Q85" s="70"/>
      <c r="R85" s="860" t="s">
        <v>172</v>
      </c>
      <c r="S85" s="860"/>
      <c r="T85" s="860"/>
      <c r="U85" s="253"/>
      <c r="V85" s="171">
        <f>G85</f>
        <v>268816278</v>
      </c>
      <c r="W85" s="239" t="s">
        <v>81</v>
      </c>
      <c r="X85" s="176">
        <f>X56</f>
        <v>8.4699999999999999E-4</v>
      </c>
      <c r="Y85" s="266">
        <f t="shared" ref="Y85:Y87" si="12">ROUND(V85*X85,2)</f>
        <v>227687.39</v>
      </c>
    </row>
    <row r="86" spans="1:26" ht="14.25" customHeight="1" x14ac:dyDescent="0.25">
      <c r="A86" s="896" t="s">
        <v>104</v>
      </c>
      <c r="B86" s="896"/>
      <c r="C86" s="896"/>
      <c r="D86" s="896"/>
      <c r="E86" s="896"/>
      <c r="F86" s="248" t="s">
        <v>103</v>
      </c>
      <c r="G86" s="139">
        <v>0</v>
      </c>
      <c r="H86" s="223" t="s">
        <v>81</v>
      </c>
      <c r="I86" s="41">
        <f>I57</f>
        <v>8.4699999999999999E-4</v>
      </c>
      <c r="J86" s="138">
        <f>ROUND(G86*I86,2)</f>
        <v>0</v>
      </c>
      <c r="K86" s="70"/>
      <c r="L86" s="71"/>
      <c r="M86" s="76"/>
      <c r="N86" s="76"/>
      <c r="O86" s="76"/>
      <c r="P86" s="76"/>
      <c r="Q86" s="70"/>
      <c r="R86" s="860" t="s">
        <v>173</v>
      </c>
      <c r="S86" s="860"/>
      <c r="T86" s="860"/>
      <c r="U86" s="253"/>
      <c r="V86" s="203">
        <f>G86</f>
        <v>0</v>
      </c>
      <c r="W86" s="239" t="s">
        <v>81</v>
      </c>
      <c r="X86" s="176">
        <f>X56</f>
        <v>8.4699999999999999E-4</v>
      </c>
      <c r="Y86" s="266">
        <f t="shared" si="12"/>
        <v>0</v>
      </c>
    </row>
    <row r="87" spans="1:26" ht="18" customHeight="1" x14ac:dyDescent="0.25">
      <c r="A87" s="896" t="s">
        <v>105</v>
      </c>
      <c r="B87" s="896"/>
      <c r="C87" s="896"/>
      <c r="D87" s="896"/>
      <c r="E87" s="896"/>
      <c r="F87" s="248" t="s">
        <v>84</v>
      </c>
      <c r="G87" s="139">
        <v>0</v>
      </c>
      <c r="H87" s="223" t="s">
        <v>81</v>
      </c>
      <c r="I87" s="41">
        <f>I54</f>
        <v>8.4099999999999995E-4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134.06800000000001</v>
      </c>
      <c r="C90" s="245"/>
      <c r="D90" s="867">
        <f>I6</f>
        <v>1.0355000000000001</v>
      </c>
      <c r="E90" s="867"/>
      <c r="F90" s="867"/>
      <c r="G90" s="122">
        <f>'[1]Detail 2025-26 FEFP Second'!AB3</f>
        <v>958.42</v>
      </c>
      <c r="H90" s="47" t="s">
        <v>68</v>
      </c>
      <c r="I90" s="141">
        <f>ROUND(B90*D90*G90,2)</f>
        <v>133054.97</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60</v>
      </c>
      <c r="C91" s="245"/>
      <c r="D91" s="867">
        <f>I6</f>
        <v>1.0355000000000001</v>
      </c>
      <c r="E91" s="867"/>
      <c r="F91" s="867"/>
      <c r="G91" s="122">
        <f>'[1]Detail 2025-26 FEFP Second'!AC3</f>
        <v>915.09</v>
      </c>
      <c r="H91" s="47" t="s">
        <v>68</v>
      </c>
      <c r="I91" s="140">
        <f>ROUND(B91*D91*G91,2)</f>
        <v>56854.54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0</v>
      </c>
      <c r="C92" s="109"/>
      <c r="D92" s="867">
        <f>I6</f>
        <v>1.0355000000000001</v>
      </c>
      <c r="E92" s="867"/>
      <c r="F92" s="867"/>
      <c r="G92" s="122">
        <f>'[1]Detail 2025-26 FEFP Second'!AD3</f>
        <v>917.3</v>
      </c>
      <c r="H92" s="47" t="s">
        <v>68</v>
      </c>
      <c r="I92" s="575">
        <f>ROUND(B92*D92*G92,2)</f>
        <v>0</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194.06800000000001</v>
      </c>
      <c r="C93" s="109"/>
      <c r="D93" s="109"/>
      <c r="E93" s="937" t="s">
        <v>112</v>
      </c>
      <c r="F93" s="937"/>
      <c r="G93" s="937"/>
      <c r="H93" s="937"/>
      <c r="I93" s="937"/>
      <c r="J93" s="127">
        <f>IF(A1=75,0,I92+I91+I90)</f>
        <v>189909.51</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1566972.61</v>
      </c>
      <c r="L107" s="576"/>
      <c r="R107" s="860" t="s">
        <v>125</v>
      </c>
      <c r="S107" s="860"/>
      <c r="T107" s="860"/>
      <c r="U107" s="860"/>
      <c r="V107" s="860"/>
      <c r="W107" s="860"/>
      <c r="X107" s="860"/>
      <c r="Y107" s="219">
        <f>SUM(Y106,Y105,Y97,Y96,Y93,Y86,Y85,Y84,Y70,Y69,Y67,Y33,Y71,Y50,Y87,Y83)</f>
        <v>227687.39</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1506006.2000000002</v>
      </c>
      <c r="R109" s="170" t="s">
        <v>180</v>
      </c>
      <c r="S109" s="170"/>
      <c r="T109" s="170"/>
      <c r="U109" s="170"/>
      <c r="V109" s="170"/>
      <c r="W109" s="170"/>
      <c r="X109" s="170"/>
      <c r="Y109" s="220">
        <f>Y107-Y38</f>
        <v>227687.39</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v>0</v>
      </c>
      <c r="J111" s="137">
        <f>Y109</f>
        <v>227687.39</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1506006.2000000002</v>
      </c>
      <c r="J114" s="296">
        <f>ROUND(IF(E28=0,0,IF(E28&gt;250,-(((250/E28)*I114)*IF(H114="H",0.02,0.05)),IF(H114="H",-0.02*I114,-0.05*I114))),2)</f>
        <v>-75300.31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1491672.3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Payments'!R119</f>
        <v>-712641.81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779030.49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129838.42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85" workbookViewId="0">
      <selection activeCell="C28" sqref="C2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480</v>
      </c>
      <c r="B2" s="102"/>
      <c r="C2" s="102"/>
      <c r="D2" s="102"/>
      <c r="E2" s="100"/>
      <c r="F2" s="100"/>
      <c r="G2" s="100"/>
      <c r="H2" s="100"/>
      <c r="I2" s="100"/>
      <c r="J2" s="100"/>
      <c r="K2" s="6"/>
      <c r="L2" s="6"/>
      <c r="M2" s="6"/>
      <c r="N2" s="6"/>
      <c r="O2" s="6"/>
      <c r="P2" s="6"/>
      <c r="Q2" s="6"/>
      <c r="R2" s="873" t="str">
        <f>Revenue_Estimate_Worksheet_for___________Charter_School</f>
        <v>Revenue Estimate Worksheet: Sports Leadership &amp; Management (SLAM) MHS (Boca) - 4103</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Second'!$C$1:$C$65536,MATCH('4103'!$A$1,'[1]Detail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146.72999999999999</v>
      </c>
      <c r="D14" s="415">
        <v>146.93</v>
      </c>
      <c r="E14" s="965">
        <f t="shared" si="0"/>
        <v>293.65999999999997</v>
      </c>
      <c r="F14" s="965"/>
      <c r="G14" s="966">
        <v>1</v>
      </c>
      <c r="H14" s="966"/>
      <c r="I14" s="578">
        <f t="shared" si="2"/>
        <v>293.66000000000003</v>
      </c>
      <c r="J14" s="579">
        <f>ROUND(ROUND(ROUND(I14*$E$6,4)*($I$6),2)*(MAX($I$7,1)),2)</f>
        <v>1633726.69</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22.48</v>
      </c>
      <c r="D15" s="415">
        <v>23.45</v>
      </c>
      <c r="E15" s="965">
        <f t="shared" si="0"/>
        <v>45.93</v>
      </c>
      <c r="F15" s="965"/>
      <c r="G15" s="966">
        <v>1</v>
      </c>
      <c r="H15" s="966"/>
      <c r="I15" s="578">
        <f t="shared" si="2"/>
        <v>45.93</v>
      </c>
      <c r="J15" s="579">
        <f t="shared" si="1"/>
        <v>255523.62</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188.99</v>
      </c>
      <c r="D16" s="415">
        <v>186.62</v>
      </c>
      <c r="E16" s="965">
        <f t="shared" si="0"/>
        <v>375.61</v>
      </c>
      <c r="F16" s="965"/>
      <c r="G16" s="966">
        <v>0.97199999999999998</v>
      </c>
      <c r="H16" s="966"/>
      <c r="I16" s="578">
        <f t="shared" si="2"/>
        <v>365.09289999999999</v>
      </c>
      <c r="J16" s="579">
        <f t="shared" si="1"/>
        <v>2031131.3</v>
      </c>
      <c r="M16" s="2"/>
      <c r="R16" s="858" t="s">
        <v>24</v>
      </c>
      <c r="S16" s="858"/>
      <c r="T16" s="889">
        <f t="shared" si="3"/>
        <v>0</v>
      </c>
      <c r="U16" s="889"/>
      <c r="V16" s="894">
        <v>1</v>
      </c>
      <c r="W16" s="894"/>
      <c r="X16" s="156">
        <f t="shared" si="4"/>
        <v>0</v>
      </c>
      <c r="Y16" s="266">
        <f t="shared" si="6"/>
        <v>0</v>
      </c>
    </row>
    <row r="17" spans="1:25" x14ac:dyDescent="0.25">
      <c r="A17" s="859" t="s">
        <v>25</v>
      </c>
      <c r="B17" s="859"/>
      <c r="C17" s="415">
        <v>30.22</v>
      </c>
      <c r="D17" s="415">
        <v>29.03</v>
      </c>
      <c r="E17" s="965">
        <f t="shared" si="0"/>
        <v>59.25</v>
      </c>
      <c r="F17" s="965"/>
      <c r="G17" s="966">
        <v>0.97199999999999998</v>
      </c>
      <c r="H17" s="966"/>
      <c r="I17" s="578">
        <f t="shared" si="2"/>
        <v>57.591000000000001</v>
      </c>
      <c r="J17" s="579">
        <f t="shared" si="1"/>
        <v>320397.58</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27.82</v>
      </c>
      <c r="D25" s="415">
        <v>27.55</v>
      </c>
      <c r="E25" s="965">
        <f t="shared" si="0"/>
        <v>55.370000000000005</v>
      </c>
      <c r="F25" s="965"/>
      <c r="G25" s="966">
        <v>1.165</v>
      </c>
      <c r="H25" s="966"/>
      <c r="I25" s="578">
        <f t="shared" si="2"/>
        <v>64.506100000000004</v>
      </c>
      <c r="J25" s="579">
        <f t="shared" si="1"/>
        <v>358868.55</v>
      </c>
      <c r="M25" s="2"/>
      <c r="R25" s="858" t="s">
        <v>33</v>
      </c>
      <c r="S25" s="858"/>
      <c r="T25" s="889">
        <f t="shared" si="3"/>
        <v>0</v>
      </c>
      <c r="U25" s="889"/>
      <c r="V25" s="894">
        <v>1</v>
      </c>
      <c r="W25" s="894"/>
      <c r="X25" s="156">
        <f t="shared" si="4"/>
        <v>0</v>
      </c>
      <c r="Y25" s="266">
        <f t="shared" si="6"/>
        <v>0</v>
      </c>
    </row>
    <row r="26" spans="1:25" x14ac:dyDescent="0.25">
      <c r="A26" s="859" t="s">
        <v>34</v>
      </c>
      <c r="B26" s="859"/>
      <c r="C26" s="415">
        <v>45.2</v>
      </c>
      <c r="D26" s="415">
        <v>44.77</v>
      </c>
      <c r="E26" s="965">
        <f t="shared" si="0"/>
        <v>89.97</v>
      </c>
      <c r="F26" s="965"/>
      <c r="G26" s="966">
        <v>1.165</v>
      </c>
      <c r="H26" s="966"/>
      <c r="I26" s="578">
        <f t="shared" si="2"/>
        <v>104.8151</v>
      </c>
      <c r="J26" s="579">
        <f t="shared" si="1"/>
        <v>583120.71</v>
      </c>
      <c r="M26" s="2"/>
      <c r="R26" s="858" t="s">
        <v>34</v>
      </c>
      <c r="S26" s="858"/>
      <c r="T26" s="889">
        <f t="shared" si="3"/>
        <v>0</v>
      </c>
      <c r="U26" s="889"/>
      <c r="V26" s="894">
        <v>1</v>
      </c>
      <c r="W26" s="894"/>
      <c r="X26" s="156">
        <f t="shared" si="4"/>
        <v>0</v>
      </c>
      <c r="Y26" s="266">
        <f t="shared" si="6"/>
        <v>0</v>
      </c>
    </row>
    <row r="27" spans="1:25" x14ac:dyDescent="0.25">
      <c r="A27" s="864" t="s">
        <v>35</v>
      </c>
      <c r="B27" s="864"/>
      <c r="C27" s="416">
        <v>24.46</v>
      </c>
      <c r="D27" s="416">
        <v>26.51</v>
      </c>
      <c r="E27" s="961">
        <f t="shared" si="0"/>
        <v>50.97</v>
      </c>
      <c r="F27" s="961"/>
      <c r="G27" s="962">
        <v>1.081</v>
      </c>
      <c r="H27" s="962"/>
      <c r="I27" s="22">
        <f t="shared" si="2"/>
        <v>55.098599999999998</v>
      </c>
      <c r="J27" s="127">
        <f t="shared" si="1"/>
        <v>306531.55</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705">
        <f>SUM(C12:C27)</f>
        <v>485.89999999999992</v>
      </c>
      <c r="D28" s="126">
        <f>SUM(D12:D27)</f>
        <v>484.85999999999996</v>
      </c>
      <c r="E28" s="964">
        <f>SUM(E12:E27)</f>
        <v>970.7600000000001</v>
      </c>
      <c r="F28" s="964"/>
      <c r="G28" s="959"/>
      <c r="H28" s="959"/>
      <c r="I28" s="23">
        <f>SUM(I12:I27)</f>
        <v>986.69370000000004</v>
      </c>
      <c r="J28" s="127">
        <f>SUM(J12:J27)</f>
        <v>5489300</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986.69370000000004</v>
      </c>
      <c r="H33" s="959" t="s">
        <v>45</v>
      </c>
      <c r="I33" s="959"/>
      <c r="J33" s="32">
        <f>SUM(J32,J28)</f>
        <v>5489300</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5509576.6600000001</v>
      </c>
      <c r="H36" s="223" t="s">
        <v>49</v>
      </c>
      <c r="I36" s="38">
        <v>6.6699999999999995E-2</v>
      </c>
      <c r="J36" s="131">
        <f>ROUND(G36*I36,2)</f>
        <v>367488.76</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5509576.6600000001</v>
      </c>
      <c r="H37" s="223" t="s">
        <v>49</v>
      </c>
      <c r="I37" s="38">
        <v>5.4000000000000003E-3</v>
      </c>
      <c r="J37" s="131">
        <f>ROUND(G37*I37,2)</f>
        <v>29751.71</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397240.47000000003</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18.98</v>
      </c>
      <c r="D44" s="415">
        <v>19.8</v>
      </c>
      <c r="E44" s="952">
        <f t="shared" si="7"/>
        <v>38.78</v>
      </c>
      <c r="F44" s="952"/>
      <c r="G44" s="47" t="s">
        <v>60</v>
      </c>
      <c r="H44" s="223">
        <v>251</v>
      </c>
      <c r="I44" s="136">
        <f>INDEX('[1]111-112-113 ADDITIONAL FUND'!G$1:G$65536,MATCH($A$1,'[1]111-112-113 ADDITIONAL FUND'!A$1:A$65536))</f>
        <v>1173</v>
      </c>
      <c r="J44" s="137">
        <f t="shared" si="8"/>
        <v>45488.94</v>
      </c>
      <c r="L44" s="3"/>
      <c r="M44" s="2"/>
      <c r="Q44" s="4"/>
      <c r="R44" s="901"/>
      <c r="S44" s="901"/>
      <c r="T44" s="903"/>
      <c r="U44" s="903"/>
      <c r="V44" s="182" t="s">
        <v>60</v>
      </c>
      <c r="W44" s="239">
        <v>251</v>
      </c>
      <c r="X44" s="134">
        <f t="shared" si="9"/>
        <v>1173</v>
      </c>
      <c r="Y44" s="269">
        <f t="shared" si="10"/>
        <v>0</v>
      </c>
    </row>
    <row r="45" spans="1:25" x14ac:dyDescent="0.25">
      <c r="A45" s="958"/>
      <c r="B45" s="958"/>
      <c r="C45" s="415">
        <v>3.5</v>
      </c>
      <c r="D45" s="415">
        <v>3.65</v>
      </c>
      <c r="E45" s="952">
        <f t="shared" si="7"/>
        <v>7.15</v>
      </c>
      <c r="F45" s="952"/>
      <c r="G45" s="47" t="s">
        <v>60</v>
      </c>
      <c r="H45" s="223">
        <v>252</v>
      </c>
      <c r="I45" s="136">
        <f>INDEX('[1]111-112-113 ADDITIONAL FUND'!H$1:H$65536,MATCH($A$1,'[1]111-112-113 ADDITIONAL FUND'!A$1:A$65536))</f>
        <v>3506</v>
      </c>
      <c r="J45" s="46">
        <f t="shared" si="8"/>
        <v>25067.9</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25.27</v>
      </c>
      <c r="D47" s="415">
        <v>24.27</v>
      </c>
      <c r="E47" s="952">
        <f t="shared" si="7"/>
        <v>49.54</v>
      </c>
      <c r="F47" s="952"/>
      <c r="G47" s="47" t="s">
        <v>61</v>
      </c>
      <c r="H47" s="223">
        <v>251</v>
      </c>
      <c r="I47" s="136">
        <f>INDEX('[1]111-112-113 ADDITIONAL FUND'!J$1:J$65536,MATCH($A$1,'[1]111-112-113 ADDITIONAL FUND'!A$1:A$65536))</f>
        <v>835</v>
      </c>
      <c r="J47" s="46">
        <f t="shared" si="8"/>
        <v>41365.9</v>
      </c>
      <c r="M47" s="2"/>
      <c r="R47" s="901"/>
      <c r="S47" s="901"/>
      <c r="T47" s="903"/>
      <c r="U47" s="903"/>
      <c r="V47" s="182" t="s">
        <v>61</v>
      </c>
      <c r="W47" s="239">
        <v>251</v>
      </c>
      <c r="X47" s="134">
        <f t="shared" si="9"/>
        <v>835</v>
      </c>
      <c r="Y47" s="269">
        <f t="shared" si="10"/>
        <v>0</v>
      </c>
    </row>
    <row r="48" spans="1:25" ht="15.75" customHeight="1" x14ac:dyDescent="0.25">
      <c r="A48" s="958"/>
      <c r="B48" s="958"/>
      <c r="C48" s="415">
        <v>4.95</v>
      </c>
      <c r="D48" s="415">
        <v>4.76</v>
      </c>
      <c r="E48" s="952">
        <f t="shared" si="7"/>
        <v>9.7100000000000009</v>
      </c>
      <c r="F48" s="952"/>
      <c r="G48" s="47" t="s">
        <v>61</v>
      </c>
      <c r="H48" s="223">
        <v>252</v>
      </c>
      <c r="I48" s="136">
        <f>INDEX('[1]111-112-113 ADDITIONAL FUND'!K$1:K$65536,MATCH($A$1,'[1]111-112-113 ADDITIONAL FUND'!A$1:A$65536))</f>
        <v>3168</v>
      </c>
      <c r="J48" s="46">
        <f t="shared" si="8"/>
        <v>30761.279999999999</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52.7</v>
      </c>
      <c r="D50" s="585">
        <f>SUM(D41:D49)</f>
        <v>52.48</v>
      </c>
      <c r="E50" s="954">
        <f>SUM(E41:E49)</f>
        <v>105.18</v>
      </c>
      <c r="F50" s="954"/>
      <c r="G50" s="910" t="s">
        <v>63</v>
      </c>
      <c r="H50" s="910"/>
      <c r="I50" s="910"/>
      <c r="J50" s="276">
        <f>SUM(J41:J49)</f>
        <v>142684.01999999999</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970.7600000000001</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4.5079999999999999E-3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986.69370000000004</v>
      </c>
      <c r="U55" s="184" t="s">
        <v>66</v>
      </c>
      <c r="V55" s="185"/>
      <c r="W55" s="186" t="s">
        <v>71</v>
      </c>
      <c r="X55" s="917">
        <f>I56</f>
        <v>229051.25000000003</v>
      </c>
      <c r="Y55" s="917"/>
    </row>
    <row r="56" spans="1:25" ht="16.5" customHeight="1" x14ac:dyDescent="0.25">
      <c r="A56" s="897" t="s">
        <v>70</v>
      </c>
      <c r="B56" s="897"/>
      <c r="C56" s="237"/>
      <c r="D56" s="237"/>
      <c r="E56" s="48">
        <f>G33</f>
        <v>986.69370000000004</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4.3080000000000002E-3</v>
      </c>
      <c r="Y56" s="918"/>
    </row>
    <row r="57" spans="1:25" ht="18.75" customHeight="1" x14ac:dyDescent="0.25">
      <c r="A57" s="237"/>
      <c r="H57" s="53" t="s">
        <v>68</v>
      </c>
      <c r="I57" s="943">
        <f>IFERROR(ROUND(E56/I56,6),0)</f>
        <v>4.3080000000000002E-3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970.7600000000001</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5.215E-3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970.7600000000001</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4.5149999999999999E-3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970.7600000000001</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5.2230000000000002E-3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4.5149999999999999E-3</v>
      </c>
      <c r="J68" s="138">
        <f>ROUND(G68*I68,2)</f>
        <v>213517.72</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4.5079999999999999E-3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5.2230000000000002E-3</v>
      </c>
      <c r="J71" s="138">
        <f>ROUND(G71*I71,2)</f>
        <v>100113.84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5.215E-3</v>
      </c>
      <c r="J72" s="138">
        <f>ROUND(G72*I72,2)</f>
        <v>60217.03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v>20.32</v>
      </c>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v>0.5</v>
      </c>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59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5.1479999999999998E-3</v>
      </c>
      <c r="J84" s="62">
        <f>ROUND(G84*I84,2)</f>
        <v>325712.55</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4.3080000000000002E-3</v>
      </c>
      <c r="J85" s="138">
        <f>ROUND(G85*I85,2)</f>
        <v>1158060.53</v>
      </c>
      <c r="K85" s="70"/>
      <c r="L85" s="70"/>
      <c r="M85" s="71"/>
      <c r="N85" s="70"/>
      <c r="O85" s="70"/>
      <c r="P85" s="70"/>
      <c r="Q85" s="70"/>
      <c r="R85" s="860" t="s">
        <v>172</v>
      </c>
      <c r="S85" s="860"/>
      <c r="T85" s="860"/>
      <c r="U85" s="253"/>
      <c r="V85" s="171">
        <f>G85</f>
        <v>268816278</v>
      </c>
      <c r="W85" s="239" t="s">
        <v>81</v>
      </c>
      <c r="X85" s="176">
        <f>X56</f>
        <v>4.3080000000000002E-3</v>
      </c>
      <c r="Y85" s="266">
        <f t="shared" ref="Y85:Y87" si="12">ROUND(V85*X85,2)</f>
        <v>1158060.53</v>
      </c>
    </row>
    <row r="86" spans="1:26" ht="14.25" customHeight="1" x14ac:dyDescent="0.25">
      <c r="A86" s="896" t="s">
        <v>104</v>
      </c>
      <c r="B86" s="896"/>
      <c r="C86" s="896"/>
      <c r="D86" s="896"/>
      <c r="E86" s="896"/>
      <c r="F86" s="248" t="s">
        <v>103</v>
      </c>
      <c r="G86" s="139">
        <v>0</v>
      </c>
      <c r="H86" s="223" t="s">
        <v>81</v>
      </c>
      <c r="I86" s="41">
        <f>I57</f>
        <v>4.3080000000000002E-3</v>
      </c>
      <c r="J86" s="138">
        <f>ROUND(G86*I86,2)</f>
        <v>0</v>
      </c>
      <c r="K86" s="70"/>
      <c r="L86" s="71"/>
      <c r="M86" s="76"/>
      <c r="N86" s="76"/>
      <c r="O86" s="76"/>
      <c r="P86" s="76"/>
      <c r="Q86" s="70"/>
      <c r="R86" s="860" t="s">
        <v>173</v>
      </c>
      <c r="S86" s="860"/>
      <c r="T86" s="860"/>
      <c r="U86" s="253"/>
      <c r="V86" s="203">
        <f>G86</f>
        <v>0</v>
      </c>
      <c r="W86" s="239" t="s">
        <v>81</v>
      </c>
      <c r="X86" s="176">
        <f>X56</f>
        <v>4.3080000000000002E-3</v>
      </c>
      <c r="Y86" s="266">
        <f t="shared" si="12"/>
        <v>0</v>
      </c>
    </row>
    <row r="87" spans="1:26" ht="18" customHeight="1" x14ac:dyDescent="0.25">
      <c r="A87" s="896" t="s">
        <v>105</v>
      </c>
      <c r="B87" s="896"/>
      <c r="C87" s="896"/>
      <c r="D87" s="896"/>
      <c r="E87" s="896"/>
      <c r="F87" s="248" t="s">
        <v>84</v>
      </c>
      <c r="G87" s="139">
        <v>0</v>
      </c>
      <c r="H87" s="223" t="s">
        <v>81</v>
      </c>
      <c r="I87" s="41">
        <f>I54</f>
        <v>4.5079999999999999E-3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404.09610000000004</v>
      </c>
      <c r="C91" s="245"/>
      <c r="D91" s="867">
        <f>I6</f>
        <v>1.0355000000000001</v>
      </c>
      <c r="E91" s="867"/>
      <c r="F91" s="867"/>
      <c r="G91" s="122">
        <f>'[1]Detail 2025-26 FEFP Second'!AC3</f>
        <v>915.09</v>
      </c>
      <c r="H91" s="47" t="s">
        <v>68</v>
      </c>
      <c r="I91" s="140">
        <f>ROUND(B91*D91*G91,2)</f>
        <v>382911.64</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582.59760000000006</v>
      </c>
      <c r="C92" s="109"/>
      <c r="D92" s="867">
        <f>I6</f>
        <v>1.0355000000000001</v>
      </c>
      <c r="E92" s="867"/>
      <c r="F92" s="867"/>
      <c r="G92" s="122">
        <f>'[1]Detail 2025-26 FEFP Second'!AD3</f>
        <v>917.3</v>
      </c>
      <c r="H92" s="47" t="s">
        <v>68</v>
      </c>
      <c r="I92" s="575">
        <f>ROUND(B92*D92*G92,2)</f>
        <v>553388.56999999995</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986.69370000000004</v>
      </c>
      <c r="C93" s="109"/>
      <c r="D93" s="109"/>
      <c r="E93" s="937" t="s">
        <v>112</v>
      </c>
      <c r="F93" s="937"/>
      <c r="G93" s="937"/>
      <c r="H93" s="937"/>
      <c r="I93" s="937"/>
      <c r="J93" s="127">
        <f>IF(A1=75,0,I92+I91+I90)</f>
        <v>936300.21</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8425905.9000000004</v>
      </c>
      <c r="L107" s="576"/>
      <c r="R107" s="860" t="s">
        <v>125</v>
      </c>
      <c r="S107" s="860"/>
      <c r="T107" s="860"/>
      <c r="U107" s="860"/>
      <c r="V107" s="860"/>
      <c r="W107" s="860"/>
      <c r="X107" s="860"/>
      <c r="Y107" s="219">
        <f>SUM(Y106,Y105,Y97,Y96,Y93,Y86,Y85,Y84,Y70,Y69,Y67,Y33,Y71,Y50,Y87,Y83)</f>
        <v>1158060.53</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8028665.4300000006</v>
      </c>
      <c r="R109" s="170" t="s">
        <v>180</v>
      </c>
      <c r="S109" s="170"/>
      <c r="T109" s="170"/>
      <c r="U109" s="170"/>
      <c r="V109" s="170"/>
      <c r="W109" s="170"/>
      <c r="X109" s="170"/>
      <c r="Y109" s="220">
        <f>Y107-Y38</f>
        <v>1158060.53</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v>0</v>
      </c>
      <c r="J111" s="137">
        <f>Y109</f>
        <v>1158060.53</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8028665.4300000006</v>
      </c>
      <c r="J114" s="296">
        <f>ROUND(IF(E28=0,0,IF(E28&gt;250,-(((250/E28)*I114)*IF(H113="H",0.02,0.05)),IF(H113="H",-0.02*I114,-0.05*I114))),2)</f>
        <v>-103381.18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8322524.7200000007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Payments'!R120</f>
        <v>-4129449.53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4193075.1900000009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698845.87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298052.09000000003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84"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481</v>
      </c>
      <c r="B2" s="102"/>
      <c r="C2" s="102"/>
      <c r="D2" s="102"/>
      <c r="E2" s="100"/>
      <c r="F2" s="100"/>
      <c r="G2" s="100"/>
      <c r="H2" s="100"/>
      <c r="I2" s="100"/>
      <c r="J2" s="100"/>
      <c r="K2" s="6"/>
      <c r="L2" s="6"/>
      <c r="M2" s="6"/>
      <c r="N2" s="6"/>
      <c r="O2" s="6"/>
      <c r="P2" s="6"/>
      <c r="Q2" s="6"/>
      <c r="R2" s="873" t="str">
        <f>Revenue_Estimate_Worksheet_for___________Charter_School</f>
        <v>Revenue Estimate Worksheet: Sports Leadership &amp; Management (SLAM) Academy High School - 4111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Second'!$C$1:$C$65536,MATCH('4111'!$A$1,'[1]Detail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105.81</v>
      </c>
      <c r="D16" s="415">
        <v>98.7</v>
      </c>
      <c r="E16" s="965">
        <f t="shared" si="0"/>
        <v>204.51</v>
      </c>
      <c r="F16" s="965"/>
      <c r="G16" s="966">
        <v>0.97199999999999998</v>
      </c>
      <c r="H16" s="966"/>
      <c r="I16" s="578">
        <f t="shared" si="2"/>
        <v>198.78370000000001</v>
      </c>
      <c r="J16" s="579">
        <f t="shared" si="1"/>
        <v>1105898.78</v>
      </c>
      <c r="M16" s="2"/>
      <c r="R16" s="858" t="s">
        <v>24</v>
      </c>
      <c r="S16" s="858"/>
      <c r="T16" s="889">
        <f t="shared" si="3"/>
        <v>0</v>
      </c>
      <c r="U16" s="889"/>
      <c r="V16" s="894">
        <v>1</v>
      </c>
      <c r="W16" s="894"/>
      <c r="X16" s="156">
        <f t="shared" si="4"/>
        <v>0</v>
      </c>
      <c r="Y16" s="266">
        <f t="shared" si="6"/>
        <v>0</v>
      </c>
    </row>
    <row r="17" spans="1:25" x14ac:dyDescent="0.25">
      <c r="A17" s="859" t="s">
        <v>25</v>
      </c>
      <c r="B17" s="859"/>
      <c r="C17" s="415">
        <v>18.53</v>
      </c>
      <c r="D17" s="415">
        <v>17.43</v>
      </c>
      <c r="E17" s="965">
        <f t="shared" si="0"/>
        <v>35.96</v>
      </c>
      <c r="F17" s="965"/>
      <c r="G17" s="966">
        <v>0.97199999999999998</v>
      </c>
      <c r="H17" s="966"/>
      <c r="I17" s="578">
        <f t="shared" si="2"/>
        <v>34.953099999999999</v>
      </c>
      <c r="J17" s="579">
        <f t="shared" si="1"/>
        <v>194455.54</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24.62</v>
      </c>
      <c r="D26" s="415">
        <v>24.44</v>
      </c>
      <c r="E26" s="965">
        <f t="shared" si="0"/>
        <v>49.06</v>
      </c>
      <c r="F26" s="965"/>
      <c r="G26" s="966">
        <v>1.165</v>
      </c>
      <c r="H26" s="966"/>
      <c r="I26" s="578">
        <f t="shared" si="2"/>
        <v>57.154899999999998</v>
      </c>
      <c r="J26" s="579">
        <f t="shared" si="1"/>
        <v>317971.42</v>
      </c>
      <c r="M26" s="2"/>
      <c r="R26" s="858" t="s">
        <v>34</v>
      </c>
      <c r="S26" s="858"/>
      <c r="T26" s="889">
        <f t="shared" si="3"/>
        <v>0</v>
      </c>
      <c r="U26" s="889"/>
      <c r="V26" s="894">
        <v>1</v>
      </c>
      <c r="W26" s="894"/>
      <c r="X26" s="156">
        <f t="shared" si="4"/>
        <v>0</v>
      </c>
      <c r="Y26" s="266">
        <f t="shared" si="6"/>
        <v>0</v>
      </c>
    </row>
    <row r="27" spans="1:25" x14ac:dyDescent="0.25">
      <c r="A27" s="864" t="s">
        <v>35</v>
      </c>
      <c r="B27" s="864"/>
      <c r="C27" s="416">
        <v>8.81</v>
      </c>
      <c r="D27" s="416">
        <v>8.7899999999999991</v>
      </c>
      <c r="E27" s="961">
        <f t="shared" si="0"/>
        <v>17.600000000000001</v>
      </c>
      <c r="F27" s="961"/>
      <c r="G27" s="962">
        <v>1.081</v>
      </c>
      <c r="H27" s="962"/>
      <c r="I27" s="22">
        <f t="shared" si="2"/>
        <v>19.025600000000001</v>
      </c>
      <c r="J27" s="127">
        <f t="shared" si="1"/>
        <v>105845.64</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157.77000000000001</v>
      </c>
      <c r="D28" s="126">
        <f>SUM(D12:D27)</f>
        <v>149.35999999999999</v>
      </c>
      <c r="E28" s="964">
        <f>SUM(E12:E27)</f>
        <v>307.13</v>
      </c>
      <c r="F28" s="964"/>
      <c r="G28" s="959"/>
      <c r="H28" s="959"/>
      <c r="I28" s="23">
        <f>SUM(I12:I27)</f>
        <v>309.91730000000001</v>
      </c>
      <c r="J28" s="127">
        <f>SUM(J12:J27)</f>
        <v>1724171.38</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309.91730000000001</v>
      </c>
      <c r="H33" s="959" t="s">
        <v>45</v>
      </c>
      <c r="I33" s="959"/>
      <c r="J33" s="32">
        <f>SUM(J32,J28)</f>
        <v>1724171.38</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1721880.3900000001</v>
      </c>
      <c r="H36" s="223" t="s">
        <v>49</v>
      </c>
      <c r="I36" s="38">
        <v>6.6699999999999995E-2</v>
      </c>
      <c r="J36" s="131">
        <f>ROUND(G36*I36,2)</f>
        <v>114849.42</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1721880.3900000001</v>
      </c>
      <c r="H37" s="223" t="s">
        <v>49</v>
      </c>
      <c r="I37" s="38">
        <v>5.4000000000000003E-3</v>
      </c>
      <c r="J37" s="131">
        <f>ROUND(G37*I37,2)</f>
        <v>9298.15</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124147.56999999999</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18.53</v>
      </c>
      <c r="D47" s="415">
        <v>17.43</v>
      </c>
      <c r="E47" s="952">
        <f t="shared" si="7"/>
        <v>35.96</v>
      </c>
      <c r="F47" s="952"/>
      <c r="G47" s="47" t="s">
        <v>61</v>
      </c>
      <c r="H47" s="223">
        <v>251</v>
      </c>
      <c r="I47" s="136">
        <f>INDEX('[1]111-112-113 ADDITIONAL FUND'!J$1:J$65536,MATCH($A$1,'[1]111-112-113 ADDITIONAL FUND'!A$1:A$65536))</f>
        <v>835</v>
      </c>
      <c r="J47" s="46">
        <f t="shared" si="8"/>
        <v>30026.6</v>
      </c>
      <c r="M47" s="2"/>
      <c r="R47" s="901"/>
      <c r="S47" s="901"/>
      <c r="T47" s="903"/>
      <c r="U47" s="903"/>
      <c r="V47" s="182" t="s">
        <v>61</v>
      </c>
      <c r="W47" s="239">
        <v>251</v>
      </c>
      <c r="X47" s="134">
        <f t="shared" si="9"/>
        <v>835</v>
      </c>
      <c r="Y47" s="269">
        <f t="shared" si="10"/>
        <v>0</v>
      </c>
    </row>
    <row r="48" spans="1:25" ht="15.75" customHeight="1" x14ac:dyDescent="0.25">
      <c r="A48" s="958"/>
      <c r="B48" s="958"/>
      <c r="C48" s="415">
        <v>0</v>
      </c>
      <c r="D48" s="415">
        <v>0</v>
      </c>
      <c r="E48" s="952">
        <f t="shared" si="7"/>
        <v>0</v>
      </c>
      <c r="F48" s="952"/>
      <c r="G48" s="47" t="s">
        <v>61</v>
      </c>
      <c r="H48" s="223">
        <v>252</v>
      </c>
      <c r="I48" s="136">
        <f>INDEX('[1]111-112-113 ADDITIONAL FUND'!K$1:K$65536,MATCH($A$1,'[1]111-112-113 ADDITIONAL FUND'!A$1:A$65536))</f>
        <v>3168</v>
      </c>
      <c r="J48" s="46">
        <f t="shared" si="8"/>
        <v>0</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18.53</v>
      </c>
      <c r="D50" s="585">
        <f>SUM(D41:D49)</f>
        <v>17.43</v>
      </c>
      <c r="E50" s="954">
        <f>SUM(E41:E49)</f>
        <v>35.96</v>
      </c>
      <c r="F50" s="954"/>
      <c r="G50" s="910" t="s">
        <v>63</v>
      </c>
      <c r="H50" s="910"/>
      <c r="I50" s="910"/>
      <c r="J50" s="276">
        <f>SUM(J41:J49)</f>
        <v>30026.6</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307.13</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1.426E-3</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309.91730000000001</v>
      </c>
      <c r="U55" s="184" t="s">
        <v>66</v>
      </c>
      <c r="V55" s="185"/>
      <c r="W55" s="186" t="s">
        <v>71</v>
      </c>
      <c r="X55" s="917">
        <f>I56</f>
        <v>229051.25000000003</v>
      </c>
      <c r="Y55" s="917"/>
    </row>
    <row r="56" spans="1:25" ht="16.5" customHeight="1" x14ac:dyDescent="0.25">
      <c r="A56" s="897" t="s">
        <v>70</v>
      </c>
      <c r="B56" s="897"/>
      <c r="C56" s="237"/>
      <c r="D56" s="237"/>
      <c r="E56" s="48">
        <f>G33</f>
        <v>309.91730000000001</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1.353E-3</v>
      </c>
      <c r="Y56" s="918"/>
    </row>
    <row r="57" spans="1:25" ht="18.75" customHeight="1" x14ac:dyDescent="0.25">
      <c r="A57" s="237"/>
      <c r="H57" s="53" t="s">
        <v>68</v>
      </c>
      <c r="I57" s="943">
        <f>IFERROR(ROUND(E56/I56,6),0)</f>
        <v>1.353E-3</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307.13</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1.65E-3</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307.13</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1.428E-3</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307.13</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1.653E-3</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1.428E-3</v>
      </c>
      <c r="J68" s="138">
        <f>ROUND(G68*I68,2)</f>
        <v>67531.19</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1.426E-3</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1.653E-3</v>
      </c>
      <c r="J71" s="138">
        <f>ROUND(G71*I71,2)</f>
        <v>31684.51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1.65E-3</v>
      </c>
      <c r="J72" s="138">
        <f>ROUND(G72*I72,2)</f>
        <v>19052.37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v>2.72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1.84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4.5600000000000005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3.9800000000000002E-4</v>
      </c>
      <c r="J84" s="62">
        <f>ROUND(G84*I84,2)</f>
        <v>25181.35</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1.353E-3</v>
      </c>
      <c r="J85" s="138">
        <f>ROUND(G85*I85,2)</f>
        <v>363708.42</v>
      </c>
      <c r="K85" s="70"/>
      <c r="L85" s="70"/>
      <c r="M85" s="71"/>
      <c r="N85" s="70"/>
      <c r="O85" s="70"/>
      <c r="P85" s="70"/>
      <c r="Q85" s="70"/>
      <c r="R85" s="860" t="s">
        <v>172</v>
      </c>
      <c r="S85" s="860"/>
      <c r="T85" s="860"/>
      <c r="U85" s="253"/>
      <c r="V85" s="171">
        <f>G85</f>
        <v>268816278</v>
      </c>
      <c r="W85" s="239" t="s">
        <v>81</v>
      </c>
      <c r="X85" s="176">
        <f>X56</f>
        <v>1.353E-3</v>
      </c>
      <c r="Y85" s="266">
        <f t="shared" ref="Y85:Y87" si="12">ROUND(V85*X85,2)</f>
        <v>363708.42</v>
      </c>
    </row>
    <row r="86" spans="1:26" ht="14.25" customHeight="1" x14ac:dyDescent="0.25">
      <c r="A86" s="896" t="s">
        <v>104</v>
      </c>
      <c r="B86" s="896"/>
      <c r="C86" s="896"/>
      <c r="D86" s="896"/>
      <c r="E86" s="896"/>
      <c r="F86" s="248" t="s">
        <v>103</v>
      </c>
      <c r="G86" s="139">
        <v>0</v>
      </c>
      <c r="H86" s="223" t="s">
        <v>81</v>
      </c>
      <c r="I86" s="41">
        <f>I57</f>
        <v>1.353E-3</v>
      </c>
      <c r="J86" s="138">
        <f>ROUND(G86*I86,2)</f>
        <v>0</v>
      </c>
      <c r="K86" s="70"/>
      <c r="L86" s="71"/>
      <c r="M86" s="76"/>
      <c r="N86" s="76"/>
      <c r="O86" s="76"/>
      <c r="P86" s="76"/>
      <c r="Q86" s="70"/>
      <c r="R86" s="860" t="s">
        <v>173</v>
      </c>
      <c r="S86" s="860"/>
      <c r="T86" s="860"/>
      <c r="U86" s="253"/>
      <c r="V86" s="203">
        <f>G86</f>
        <v>0</v>
      </c>
      <c r="W86" s="239" t="s">
        <v>81</v>
      </c>
      <c r="X86" s="176">
        <f>X56</f>
        <v>1.353E-3</v>
      </c>
      <c r="Y86" s="266">
        <f t="shared" si="12"/>
        <v>0</v>
      </c>
    </row>
    <row r="87" spans="1:26" ht="18" customHeight="1" x14ac:dyDescent="0.25">
      <c r="A87" s="896" t="s">
        <v>105</v>
      </c>
      <c r="B87" s="896"/>
      <c r="C87" s="896"/>
      <c r="D87" s="896"/>
      <c r="E87" s="896"/>
      <c r="F87" s="248" t="s">
        <v>84</v>
      </c>
      <c r="G87" s="139">
        <v>0</v>
      </c>
      <c r="H87" s="223" t="s">
        <v>81</v>
      </c>
      <c r="I87" s="41">
        <f>I54</f>
        <v>1.426E-3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309.91730000000001</v>
      </c>
      <c r="C92" s="109"/>
      <c r="D92" s="867">
        <f>I6</f>
        <v>1.0355000000000001</v>
      </c>
      <c r="E92" s="867"/>
      <c r="F92" s="867"/>
      <c r="G92" s="122">
        <f>'[1]Detail 2025-26 FEFP Second'!AD3</f>
        <v>917.3</v>
      </c>
      <c r="H92" s="47" t="s">
        <v>68</v>
      </c>
      <c r="I92" s="575">
        <f>ROUND(B92*D92*G92,2)</f>
        <v>294379.33</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309.91730000000001</v>
      </c>
      <c r="C93" s="109"/>
      <c r="D93" s="109"/>
      <c r="E93" s="937" t="s">
        <v>112</v>
      </c>
      <c r="F93" s="937"/>
      <c r="G93" s="937"/>
      <c r="H93" s="937"/>
      <c r="I93" s="937"/>
      <c r="J93" s="127">
        <f>IF(A1=75,0,I92+I91+I90)</f>
        <v>294379.33</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2555735.1500000004</v>
      </c>
      <c r="L107" s="576"/>
      <c r="R107" s="860" t="s">
        <v>125</v>
      </c>
      <c r="S107" s="860"/>
      <c r="T107" s="860"/>
      <c r="U107" s="860"/>
      <c r="V107" s="860"/>
      <c r="W107" s="860"/>
      <c r="X107" s="860"/>
      <c r="Y107" s="219">
        <f>SUM(Y106,Y105,Y97,Y96,Y93,Y86,Y85,Y84,Y70,Y69,Y67,Y33,Y71,Y50,Y87,Y83)</f>
        <v>363708.42</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2431587.5800000005</v>
      </c>
      <c r="R109" s="170" t="s">
        <v>180</v>
      </c>
      <c r="S109" s="170"/>
      <c r="T109" s="170"/>
      <c r="U109" s="170"/>
      <c r="V109" s="170"/>
      <c r="W109" s="170"/>
      <c r="X109" s="170"/>
      <c r="Y109" s="220">
        <f>Y107-Y38</f>
        <v>363708.42</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c r="J111" s="137">
        <f>Y109</f>
        <v>363708.42</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2431587.5800000005</v>
      </c>
      <c r="J114" s="296">
        <f>ROUND(IF(E28=0,0,IF(E28&gt;250,-(((250/E28)*I114)*IF(H113="H",0.02,0.05)),IF(H113="H",-0.02*I114,-0.05*I114))),2)</f>
        <v>-98964.1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2456771.0500000003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Payments'!R121</f>
        <v>-1224219.1900000002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1232551.8600000001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205425.31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22615.279999999999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opLeftCell="A93"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69" t="s">
        <v>0</v>
      </c>
      <c r="C1" s="970"/>
      <c r="D1" s="970"/>
      <c r="E1" s="971"/>
      <c r="F1" s="971"/>
      <c r="G1" s="971"/>
      <c r="H1" s="971"/>
      <c r="I1" s="971"/>
      <c r="J1" s="971"/>
      <c r="L1" s="3"/>
      <c r="M1" s="2"/>
      <c r="Q1" s="4"/>
      <c r="R1" s="142">
        <v>50</v>
      </c>
      <c r="S1" s="871" t="s">
        <v>0</v>
      </c>
      <c r="T1" s="872"/>
      <c r="U1" s="872"/>
      <c r="V1" s="872"/>
      <c r="W1" s="872"/>
      <c r="X1" s="872"/>
      <c r="Y1" s="872"/>
    </row>
    <row r="2" spans="1:25" ht="21.75" customHeight="1" x14ac:dyDescent="0.35">
      <c r="A2" s="577" t="s">
        <v>482</v>
      </c>
      <c r="B2" s="102"/>
      <c r="C2" s="102"/>
      <c r="D2" s="102"/>
      <c r="E2" s="100"/>
      <c r="F2" s="100"/>
      <c r="G2" s="100"/>
      <c r="H2" s="100"/>
      <c r="I2" s="100"/>
      <c r="J2" s="100"/>
      <c r="K2" s="6"/>
      <c r="L2" s="6"/>
      <c r="M2" s="6"/>
      <c r="N2" s="6"/>
      <c r="O2" s="6"/>
      <c r="P2" s="6"/>
      <c r="Q2" s="6"/>
      <c r="R2" s="873" t="str">
        <f>Revenue_Estimate_Worksheet_for___________Charter_School</f>
        <v>Revenue Estimate Worksheet: Somerset Academy Wellington HS - 4131</v>
      </c>
      <c r="S2" s="873"/>
      <c r="T2" s="873"/>
      <c r="U2" s="873"/>
      <c r="V2" s="873"/>
      <c r="W2" s="873"/>
      <c r="X2" s="873"/>
      <c r="Y2" s="873"/>
    </row>
    <row r="3" spans="1:25" ht="18.75" x14ac:dyDescent="0.3">
      <c r="A3" s="972" t="s">
        <v>565</v>
      </c>
      <c r="B3" s="972"/>
      <c r="C3" s="972"/>
      <c r="D3" s="972"/>
      <c r="E3" s="972"/>
      <c r="F3" s="972"/>
      <c r="G3" s="972"/>
      <c r="H3" s="972"/>
      <c r="I3" s="972"/>
      <c r="J3" s="972"/>
      <c r="K3" s="7"/>
      <c r="L3" s="7"/>
      <c r="M3" s="7"/>
      <c r="N3" s="7"/>
      <c r="O3" s="7"/>
      <c r="P3" s="7"/>
      <c r="Q3" s="7"/>
      <c r="R3" s="874" t="s">
        <v>1</v>
      </c>
      <c r="S3" s="874"/>
      <c r="T3" s="874"/>
      <c r="U3" s="874"/>
      <c r="V3" s="874"/>
      <c r="W3" s="874"/>
      <c r="X3" s="874"/>
      <c r="Y3" s="874"/>
    </row>
    <row r="4" spans="1:25" ht="18.75" customHeight="1" x14ac:dyDescent="0.25">
      <c r="A4" s="973" t="s">
        <v>2</v>
      </c>
      <c r="B4" s="973"/>
      <c r="C4" s="224"/>
      <c r="D4" s="225" t="s">
        <v>183</v>
      </c>
      <c r="E4" s="225"/>
      <c r="H4" s="281">
        <f>'0040'!H4</f>
        <v>46023</v>
      </c>
      <c r="I4" s="282"/>
      <c r="J4" s="8"/>
      <c r="K4" s="4"/>
      <c r="L4" s="4"/>
      <c r="M4" s="4"/>
      <c r="N4" s="4"/>
      <c r="O4" s="4"/>
      <c r="P4" s="4"/>
      <c r="Q4" s="4"/>
      <c r="R4" s="875" t="s">
        <v>2</v>
      </c>
      <c r="S4" s="875"/>
      <c r="T4" s="876" t="s">
        <v>183</v>
      </c>
      <c r="U4" s="876"/>
      <c r="V4" s="143"/>
      <c r="W4" s="143"/>
      <c r="X4" s="143"/>
      <c r="Y4" s="143"/>
    </row>
    <row r="5" spans="1:25" ht="21" customHeight="1" x14ac:dyDescent="0.25">
      <c r="A5" s="974" t="s">
        <v>3</v>
      </c>
      <c r="B5" s="974"/>
      <c r="C5" s="974"/>
      <c r="D5" s="974"/>
      <c r="E5" s="974"/>
      <c r="F5" s="974"/>
      <c r="G5" s="974"/>
      <c r="H5" s="974"/>
      <c r="I5" s="974"/>
      <c r="J5" s="974"/>
      <c r="K5" s="4"/>
      <c r="L5" s="4"/>
      <c r="M5" s="4"/>
      <c r="N5" s="4"/>
      <c r="O5" s="4"/>
      <c r="P5" s="4"/>
      <c r="Q5" s="4"/>
      <c r="R5" s="877" t="s">
        <v>3</v>
      </c>
      <c r="S5" s="877"/>
      <c r="T5" s="877"/>
      <c r="U5" s="877"/>
      <c r="V5" s="877"/>
      <c r="W5" s="877"/>
      <c r="X5" s="877"/>
      <c r="Y5" s="877"/>
    </row>
    <row r="6" spans="1:25" ht="18" customHeight="1" x14ac:dyDescent="0.25">
      <c r="A6" s="981" t="s">
        <v>4</v>
      </c>
      <c r="B6" s="981"/>
      <c r="C6" s="226"/>
      <c r="D6" s="226"/>
      <c r="E6" s="982">
        <v>5372.6</v>
      </c>
      <c r="F6" s="982"/>
      <c r="G6" s="983" t="s">
        <v>5</v>
      </c>
      <c r="H6" s="983"/>
      <c r="I6" s="283">
        <f>INDEX('[1]Detail 2025-26 FEFP Second'!$C$1:$C$65536,MATCH('4131'!$A$1,'[1]Detail 2025-26 FEFP Second'!$A$1:$A$65536,0))</f>
        <v>1.0355000000000001</v>
      </c>
      <c r="J6" s="103"/>
      <c r="M6" s="2"/>
      <c r="R6" s="878" t="s">
        <v>4</v>
      </c>
      <c r="S6" s="878"/>
      <c r="T6" s="879">
        <f>E6</f>
        <v>5372.6</v>
      </c>
      <c r="U6" s="879"/>
      <c r="V6" s="880" t="s">
        <v>5</v>
      </c>
      <c r="W6" s="880"/>
      <c r="X6" s="881">
        <v>1.0355000000000001</v>
      </c>
      <c r="Y6" s="881"/>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984" t="s">
        <v>8</v>
      </c>
      <c r="H9" s="984"/>
      <c r="I9" s="15" t="s">
        <v>9</v>
      </c>
      <c r="J9" s="16" t="s">
        <v>10</v>
      </c>
      <c r="M9" s="2"/>
      <c r="R9" s="262"/>
      <c r="S9" s="262"/>
      <c r="T9" s="148"/>
      <c r="U9" s="148"/>
      <c r="V9" s="882" t="s">
        <v>8</v>
      </c>
      <c r="W9" s="882"/>
      <c r="X9" s="150" t="s">
        <v>9</v>
      </c>
      <c r="Y9" s="151" t="s">
        <v>10</v>
      </c>
    </row>
    <row r="10" spans="1:25" ht="15.75" customHeight="1" x14ac:dyDescent="0.25">
      <c r="A10" s="854" t="s">
        <v>8</v>
      </c>
      <c r="B10" s="854"/>
      <c r="C10" s="113" t="s">
        <v>54</v>
      </c>
      <c r="D10" s="113" t="s">
        <v>54</v>
      </c>
      <c r="E10" s="985" t="s">
        <v>158</v>
      </c>
      <c r="F10" s="985"/>
      <c r="G10" s="986" t="s">
        <v>12</v>
      </c>
      <c r="H10" s="986"/>
      <c r="I10" s="17" t="s">
        <v>13</v>
      </c>
      <c r="J10" s="18" t="s">
        <v>14</v>
      </c>
      <c r="M10" s="2"/>
      <c r="R10" s="851" t="s">
        <v>8</v>
      </c>
      <c r="S10" s="851"/>
      <c r="T10" s="883" t="s">
        <v>11</v>
      </c>
      <c r="U10" s="883"/>
      <c r="V10" s="884" t="s">
        <v>12</v>
      </c>
      <c r="W10" s="884"/>
      <c r="X10" s="152" t="s">
        <v>13</v>
      </c>
      <c r="Y10" s="153" t="s">
        <v>14</v>
      </c>
    </row>
    <row r="11" spans="1:25" ht="14.25" customHeight="1" x14ac:dyDescent="0.25">
      <c r="A11" s="975" t="s">
        <v>15</v>
      </c>
      <c r="B11" s="975"/>
      <c r="C11" s="114"/>
      <c r="D11" s="114"/>
      <c r="E11" s="976" t="s">
        <v>16</v>
      </c>
      <c r="F11" s="976"/>
      <c r="G11" s="977" t="s">
        <v>17</v>
      </c>
      <c r="H11" s="977"/>
      <c r="I11" s="19" t="s">
        <v>18</v>
      </c>
      <c r="J11" s="20" t="s">
        <v>19</v>
      </c>
      <c r="L11" s="21"/>
      <c r="M11" s="2"/>
      <c r="R11" s="885" t="s">
        <v>15</v>
      </c>
      <c r="S11" s="885"/>
      <c r="T11" s="886" t="s">
        <v>16</v>
      </c>
      <c r="U11" s="886"/>
      <c r="V11" s="887" t="s">
        <v>17</v>
      </c>
      <c r="W11" s="887"/>
      <c r="X11" s="154" t="s">
        <v>18</v>
      </c>
      <c r="Y11" s="155" t="s">
        <v>19</v>
      </c>
    </row>
    <row r="12" spans="1:25" x14ac:dyDescent="0.25">
      <c r="A12" s="978" t="s">
        <v>20</v>
      </c>
      <c r="B12" s="978"/>
      <c r="C12" s="415">
        <v>0</v>
      </c>
      <c r="D12" s="411">
        <v>0</v>
      </c>
      <c r="E12" s="979">
        <f t="shared" ref="E12:E27" si="0">IF($D$28=0,C12*2,C12+D12)</f>
        <v>0</v>
      </c>
      <c r="F12" s="979"/>
      <c r="G12" s="980">
        <v>1.1080000000000001</v>
      </c>
      <c r="H12" s="980"/>
      <c r="I12" s="578">
        <f>ROUND(E12*G12,4)</f>
        <v>0</v>
      </c>
      <c r="J12" s="579">
        <f t="shared" ref="J12:J27" si="1">ROUND(ROUND(ROUND(I12*$E$6,4)*($I$6),2)*(MAX($I$7,1)),2)</f>
        <v>0</v>
      </c>
      <c r="L12" s="21"/>
      <c r="M12" s="2"/>
      <c r="R12" s="888" t="s">
        <v>20</v>
      </c>
      <c r="S12" s="888"/>
      <c r="T12" s="889">
        <f>IF($I$111=1,E12,0)</f>
        <v>0</v>
      </c>
      <c r="U12" s="889"/>
      <c r="V12" s="890">
        <v>1</v>
      </c>
      <c r="W12" s="890"/>
      <c r="X12" s="156">
        <f>ROUND(T12*V12,4)</f>
        <v>0</v>
      </c>
      <c r="Y12" s="266">
        <f>ROUND(ROUND(ROUND(X12*$E$6,4)*($I$6),2)*(MAX($I$7,1)),2)</f>
        <v>0</v>
      </c>
    </row>
    <row r="13" spans="1:25" x14ac:dyDescent="0.25">
      <c r="A13" s="859" t="s">
        <v>21</v>
      </c>
      <c r="B13" s="859"/>
      <c r="C13" s="415">
        <v>0</v>
      </c>
      <c r="D13" s="415">
        <v>0</v>
      </c>
      <c r="E13" s="965">
        <f t="shared" si="0"/>
        <v>0</v>
      </c>
      <c r="F13" s="965"/>
      <c r="G13" s="966">
        <v>1.1080000000000001</v>
      </c>
      <c r="H13" s="966"/>
      <c r="I13" s="578">
        <f t="shared" ref="I13:I27" si="2">ROUND(E13*G13,4)</f>
        <v>0</v>
      </c>
      <c r="J13" s="579">
        <f t="shared" si="1"/>
        <v>0</v>
      </c>
      <c r="L13" s="21"/>
      <c r="M13" s="2"/>
      <c r="R13" s="858" t="s">
        <v>21</v>
      </c>
      <c r="S13" s="858"/>
      <c r="T13" s="889">
        <f t="shared" ref="T13:T27" si="3">IF($I$111=1,E13,0)</f>
        <v>0</v>
      </c>
      <c r="U13" s="889"/>
      <c r="V13" s="894">
        <v>1</v>
      </c>
      <c r="W13" s="894"/>
      <c r="X13" s="156">
        <f t="shared" ref="X13:X27" si="4">ROUND(T13*V13,4)</f>
        <v>0</v>
      </c>
      <c r="Y13" s="266">
        <f t="shared" ref="Y13" si="5">ROUND(ROUND(ROUND(X13*$E$6,4)*($I$6),2)*(MAX($I$7,1)),2)</f>
        <v>0</v>
      </c>
    </row>
    <row r="14" spans="1:25" x14ac:dyDescent="0.25">
      <c r="A14" s="859" t="s">
        <v>22</v>
      </c>
      <c r="B14" s="859"/>
      <c r="C14" s="415">
        <v>0</v>
      </c>
      <c r="D14" s="415">
        <v>0</v>
      </c>
      <c r="E14" s="965">
        <f t="shared" si="0"/>
        <v>0</v>
      </c>
      <c r="F14" s="965"/>
      <c r="G14" s="966">
        <v>1</v>
      </c>
      <c r="H14" s="966"/>
      <c r="I14" s="578">
        <f t="shared" si="2"/>
        <v>0</v>
      </c>
      <c r="J14" s="579">
        <f>ROUND(ROUND(ROUND(I14*$E$6,4)*($I$6),2)*(MAX($I$7,1)),2)</f>
        <v>0</v>
      </c>
      <c r="L14" s="21"/>
      <c r="M14" s="2"/>
      <c r="R14" s="858" t="s">
        <v>22</v>
      </c>
      <c r="S14" s="858"/>
      <c r="T14" s="889">
        <f t="shared" si="3"/>
        <v>0</v>
      </c>
      <c r="U14" s="889"/>
      <c r="V14" s="894">
        <v>1</v>
      </c>
      <c r="W14" s="894"/>
      <c r="X14" s="156">
        <f t="shared" si="4"/>
        <v>0</v>
      </c>
      <c r="Y14" s="266">
        <f>ROUND(ROUND(ROUND(X14*$E$6,4)*($I$6),2)*(MAX($I$7,1)),2)</f>
        <v>0</v>
      </c>
    </row>
    <row r="15" spans="1:25" x14ac:dyDescent="0.25">
      <c r="A15" s="859" t="s">
        <v>23</v>
      </c>
      <c r="B15" s="859"/>
      <c r="C15" s="415">
        <v>0</v>
      </c>
      <c r="D15" s="415">
        <v>0</v>
      </c>
      <c r="E15" s="965">
        <f t="shared" si="0"/>
        <v>0</v>
      </c>
      <c r="F15" s="965"/>
      <c r="G15" s="966">
        <v>1</v>
      </c>
      <c r="H15" s="966"/>
      <c r="I15" s="578">
        <f t="shared" si="2"/>
        <v>0</v>
      </c>
      <c r="J15" s="579">
        <f t="shared" si="1"/>
        <v>0</v>
      </c>
      <c r="M15" s="2"/>
      <c r="R15" s="858" t="s">
        <v>23</v>
      </c>
      <c r="S15" s="858"/>
      <c r="T15" s="889">
        <f t="shared" si="3"/>
        <v>0</v>
      </c>
      <c r="U15" s="889"/>
      <c r="V15" s="894">
        <v>1</v>
      </c>
      <c r="W15" s="894"/>
      <c r="X15" s="156">
        <f t="shared" si="4"/>
        <v>0</v>
      </c>
      <c r="Y15" s="266">
        <f t="shared" ref="Y15:Y27" si="6">ROUND(ROUND(ROUND(X15*$E$6,4)*($I$6),2)*(MAX($I$7,1)),2)</f>
        <v>0</v>
      </c>
    </row>
    <row r="16" spans="1:25" x14ac:dyDescent="0.25">
      <c r="A16" s="859" t="s">
        <v>24</v>
      </c>
      <c r="B16" s="859"/>
      <c r="C16" s="415">
        <v>35.5</v>
      </c>
      <c r="D16" s="415">
        <v>35.43</v>
      </c>
      <c r="E16" s="965">
        <f t="shared" si="0"/>
        <v>70.930000000000007</v>
      </c>
      <c r="F16" s="965"/>
      <c r="G16" s="966">
        <v>0.97199999999999998</v>
      </c>
      <c r="H16" s="966"/>
      <c r="I16" s="578">
        <f t="shared" si="2"/>
        <v>68.944000000000003</v>
      </c>
      <c r="J16" s="579">
        <f t="shared" si="1"/>
        <v>383558.04</v>
      </c>
      <c r="M16" s="2"/>
      <c r="R16" s="858" t="s">
        <v>24</v>
      </c>
      <c r="S16" s="858"/>
      <c r="T16" s="889">
        <f t="shared" si="3"/>
        <v>0</v>
      </c>
      <c r="U16" s="889"/>
      <c r="V16" s="894">
        <v>1</v>
      </c>
      <c r="W16" s="894"/>
      <c r="X16" s="156">
        <f t="shared" si="4"/>
        <v>0</v>
      </c>
      <c r="Y16" s="266">
        <f t="shared" si="6"/>
        <v>0</v>
      </c>
    </row>
    <row r="17" spans="1:25" x14ac:dyDescent="0.25">
      <c r="A17" s="859" t="s">
        <v>25</v>
      </c>
      <c r="B17" s="859"/>
      <c r="C17" s="415">
        <v>8.1999999999999993</v>
      </c>
      <c r="D17" s="415">
        <v>8.1</v>
      </c>
      <c r="E17" s="965">
        <f t="shared" si="0"/>
        <v>16.299999999999997</v>
      </c>
      <c r="F17" s="965"/>
      <c r="G17" s="966">
        <v>0.97199999999999998</v>
      </c>
      <c r="H17" s="966"/>
      <c r="I17" s="578">
        <f t="shared" si="2"/>
        <v>15.8436</v>
      </c>
      <c r="J17" s="579">
        <f t="shared" si="1"/>
        <v>88143.13</v>
      </c>
      <c r="M17" s="2"/>
      <c r="R17" s="858" t="s">
        <v>25</v>
      </c>
      <c r="S17" s="858"/>
      <c r="T17" s="889">
        <f t="shared" si="3"/>
        <v>0</v>
      </c>
      <c r="U17" s="889"/>
      <c r="V17" s="894">
        <v>1</v>
      </c>
      <c r="W17" s="894"/>
      <c r="X17" s="156">
        <f t="shared" si="4"/>
        <v>0</v>
      </c>
      <c r="Y17" s="266">
        <f t="shared" si="6"/>
        <v>0</v>
      </c>
    </row>
    <row r="18" spans="1:25" x14ac:dyDescent="0.25">
      <c r="A18" s="859" t="s">
        <v>26</v>
      </c>
      <c r="B18" s="859"/>
      <c r="C18" s="415">
        <v>0</v>
      </c>
      <c r="D18" s="415">
        <v>0</v>
      </c>
      <c r="E18" s="965">
        <f t="shared" si="0"/>
        <v>0</v>
      </c>
      <c r="F18" s="965"/>
      <c r="G18" s="966">
        <v>3.609</v>
      </c>
      <c r="H18" s="966"/>
      <c r="I18" s="578">
        <f t="shared" si="2"/>
        <v>0</v>
      </c>
      <c r="J18" s="579">
        <f t="shared" si="1"/>
        <v>0</v>
      </c>
      <c r="M18" s="2"/>
      <c r="R18" s="858" t="s">
        <v>26</v>
      </c>
      <c r="S18" s="858"/>
      <c r="T18" s="889">
        <f t="shared" si="3"/>
        <v>0</v>
      </c>
      <c r="U18" s="889"/>
      <c r="V18" s="894">
        <v>1</v>
      </c>
      <c r="W18" s="894"/>
      <c r="X18" s="156">
        <f t="shared" si="4"/>
        <v>0</v>
      </c>
      <c r="Y18" s="266">
        <f t="shared" si="6"/>
        <v>0</v>
      </c>
    </row>
    <row r="19" spans="1:25" x14ac:dyDescent="0.25">
      <c r="A19" s="859" t="s">
        <v>27</v>
      </c>
      <c r="B19" s="859"/>
      <c r="C19" s="415">
        <v>0</v>
      </c>
      <c r="D19" s="415">
        <v>0</v>
      </c>
      <c r="E19" s="965">
        <f t="shared" si="0"/>
        <v>0</v>
      </c>
      <c r="F19" s="965"/>
      <c r="G19" s="966">
        <v>3.609</v>
      </c>
      <c r="H19" s="966"/>
      <c r="I19" s="578">
        <f t="shared" si="2"/>
        <v>0</v>
      </c>
      <c r="J19" s="579">
        <f t="shared" si="1"/>
        <v>0</v>
      </c>
      <c r="M19" s="2"/>
      <c r="R19" s="858" t="s">
        <v>27</v>
      </c>
      <c r="S19" s="858"/>
      <c r="T19" s="889">
        <f t="shared" si="3"/>
        <v>0</v>
      </c>
      <c r="U19" s="889"/>
      <c r="V19" s="894">
        <v>1</v>
      </c>
      <c r="W19" s="894"/>
      <c r="X19" s="156">
        <f t="shared" si="4"/>
        <v>0</v>
      </c>
      <c r="Y19" s="266">
        <f t="shared" si="6"/>
        <v>0</v>
      </c>
    </row>
    <row r="20" spans="1:25" x14ac:dyDescent="0.25">
      <c r="A20" s="859" t="s">
        <v>28</v>
      </c>
      <c r="B20" s="859"/>
      <c r="C20" s="415">
        <v>0</v>
      </c>
      <c r="D20" s="415">
        <v>0</v>
      </c>
      <c r="E20" s="965">
        <f t="shared" si="0"/>
        <v>0</v>
      </c>
      <c r="F20" s="965"/>
      <c r="G20" s="966">
        <v>3.609</v>
      </c>
      <c r="H20" s="966"/>
      <c r="I20" s="578">
        <f t="shared" si="2"/>
        <v>0</v>
      </c>
      <c r="J20" s="579">
        <f t="shared" si="1"/>
        <v>0</v>
      </c>
      <c r="M20" s="2"/>
      <c r="R20" s="858" t="s">
        <v>28</v>
      </c>
      <c r="S20" s="858"/>
      <c r="T20" s="889">
        <f t="shared" si="3"/>
        <v>0</v>
      </c>
      <c r="U20" s="889"/>
      <c r="V20" s="894">
        <v>1</v>
      </c>
      <c r="W20" s="894"/>
      <c r="X20" s="156">
        <f t="shared" si="4"/>
        <v>0</v>
      </c>
      <c r="Y20" s="266">
        <f t="shared" si="6"/>
        <v>0</v>
      </c>
    </row>
    <row r="21" spans="1:25" ht="15" customHeight="1" x14ac:dyDescent="0.25">
      <c r="A21" s="859" t="s">
        <v>29</v>
      </c>
      <c r="B21" s="859"/>
      <c r="C21" s="415">
        <v>0</v>
      </c>
      <c r="D21" s="415">
        <v>0</v>
      </c>
      <c r="E21" s="965">
        <f t="shared" si="0"/>
        <v>0</v>
      </c>
      <c r="F21" s="965"/>
      <c r="G21" s="966">
        <v>6.0640000000000001</v>
      </c>
      <c r="H21" s="966"/>
      <c r="I21" s="578">
        <f t="shared" si="2"/>
        <v>0</v>
      </c>
      <c r="J21" s="579">
        <f t="shared" si="1"/>
        <v>0</v>
      </c>
      <c r="M21" s="2"/>
      <c r="R21" s="858" t="s">
        <v>29</v>
      </c>
      <c r="S21" s="858"/>
      <c r="T21" s="889">
        <f t="shared" si="3"/>
        <v>0</v>
      </c>
      <c r="U21" s="889"/>
      <c r="V21" s="894">
        <v>1</v>
      </c>
      <c r="W21" s="894"/>
      <c r="X21" s="156">
        <f t="shared" si="4"/>
        <v>0</v>
      </c>
      <c r="Y21" s="266">
        <f t="shared" si="6"/>
        <v>0</v>
      </c>
    </row>
    <row r="22" spans="1:25" ht="15" customHeight="1" x14ac:dyDescent="0.25">
      <c r="A22" s="859" t="s">
        <v>30</v>
      </c>
      <c r="B22" s="859"/>
      <c r="C22" s="415">
        <v>0</v>
      </c>
      <c r="D22" s="415">
        <v>0</v>
      </c>
      <c r="E22" s="965">
        <f t="shared" si="0"/>
        <v>0</v>
      </c>
      <c r="F22" s="965"/>
      <c r="G22" s="966">
        <v>6.0640000000000001</v>
      </c>
      <c r="H22" s="966"/>
      <c r="I22" s="578">
        <f t="shared" si="2"/>
        <v>0</v>
      </c>
      <c r="J22" s="579">
        <f t="shared" si="1"/>
        <v>0</v>
      </c>
      <c r="M22" s="2"/>
      <c r="R22" s="858" t="s">
        <v>30</v>
      </c>
      <c r="S22" s="858"/>
      <c r="T22" s="889">
        <f t="shared" si="3"/>
        <v>0</v>
      </c>
      <c r="U22" s="889"/>
      <c r="V22" s="894">
        <v>1</v>
      </c>
      <c r="W22" s="894"/>
      <c r="X22" s="156">
        <f t="shared" si="4"/>
        <v>0</v>
      </c>
      <c r="Y22" s="266">
        <f t="shared" si="6"/>
        <v>0</v>
      </c>
    </row>
    <row r="23" spans="1:25" ht="15" customHeight="1" x14ac:dyDescent="0.25">
      <c r="A23" s="859" t="s">
        <v>31</v>
      </c>
      <c r="B23" s="859"/>
      <c r="C23" s="415">
        <v>0</v>
      </c>
      <c r="D23" s="415">
        <v>0</v>
      </c>
      <c r="E23" s="965">
        <f t="shared" si="0"/>
        <v>0</v>
      </c>
      <c r="F23" s="965"/>
      <c r="G23" s="966">
        <v>6.0640000000000001</v>
      </c>
      <c r="H23" s="966"/>
      <c r="I23" s="578">
        <f t="shared" si="2"/>
        <v>0</v>
      </c>
      <c r="J23" s="579">
        <f t="shared" si="1"/>
        <v>0</v>
      </c>
      <c r="M23" s="2"/>
      <c r="R23" s="858" t="s">
        <v>31</v>
      </c>
      <c r="S23" s="858"/>
      <c r="T23" s="889">
        <f t="shared" si="3"/>
        <v>0</v>
      </c>
      <c r="U23" s="889"/>
      <c r="V23" s="894">
        <v>1</v>
      </c>
      <c r="W23" s="894"/>
      <c r="X23" s="156">
        <f t="shared" si="4"/>
        <v>0</v>
      </c>
      <c r="Y23" s="266">
        <f t="shared" si="6"/>
        <v>0</v>
      </c>
    </row>
    <row r="24" spans="1:25" x14ac:dyDescent="0.25">
      <c r="A24" s="859" t="s">
        <v>32</v>
      </c>
      <c r="B24" s="859"/>
      <c r="C24" s="415">
        <v>0</v>
      </c>
      <c r="D24" s="415">
        <v>0</v>
      </c>
      <c r="E24" s="965">
        <f t="shared" si="0"/>
        <v>0</v>
      </c>
      <c r="F24" s="965"/>
      <c r="G24" s="966">
        <v>1.165</v>
      </c>
      <c r="H24" s="966"/>
      <c r="I24" s="578">
        <f t="shared" si="2"/>
        <v>0</v>
      </c>
      <c r="J24" s="579">
        <f t="shared" si="1"/>
        <v>0</v>
      </c>
      <c r="M24" s="2"/>
      <c r="R24" s="858" t="s">
        <v>32</v>
      </c>
      <c r="S24" s="858"/>
      <c r="T24" s="889">
        <f t="shared" si="3"/>
        <v>0</v>
      </c>
      <c r="U24" s="889"/>
      <c r="V24" s="894">
        <v>1</v>
      </c>
      <c r="W24" s="894"/>
      <c r="X24" s="156">
        <f t="shared" si="4"/>
        <v>0</v>
      </c>
      <c r="Y24" s="266">
        <f t="shared" si="6"/>
        <v>0</v>
      </c>
    </row>
    <row r="25" spans="1:25" x14ac:dyDescent="0.25">
      <c r="A25" s="859" t="s">
        <v>33</v>
      </c>
      <c r="B25" s="859"/>
      <c r="C25" s="415">
        <v>0</v>
      </c>
      <c r="D25" s="415">
        <v>0</v>
      </c>
      <c r="E25" s="965">
        <f t="shared" si="0"/>
        <v>0</v>
      </c>
      <c r="F25" s="965"/>
      <c r="G25" s="966">
        <v>1.165</v>
      </c>
      <c r="H25" s="966"/>
      <c r="I25" s="578">
        <f t="shared" si="2"/>
        <v>0</v>
      </c>
      <c r="J25" s="579">
        <f t="shared" si="1"/>
        <v>0</v>
      </c>
      <c r="M25" s="2"/>
      <c r="R25" s="858" t="s">
        <v>33</v>
      </c>
      <c r="S25" s="858"/>
      <c r="T25" s="889">
        <f t="shared" si="3"/>
        <v>0</v>
      </c>
      <c r="U25" s="889"/>
      <c r="V25" s="894">
        <v>1</v>
      </c>
      <c r="W25" s="894"/>
      <c r="X25" s="156">
        <f t="shared" si="4"/>
        <v>0</v>
      </c>
      <c r="Y25" s="266">
        <f t="shared" si="6"/>
        <v>0</v>
      </c>
    </row>
    <row r="26" spans="1:25" x14ac:dyDescent="0.25">
      <c r="A26" s="859" t="s">
        <v>34</v>
      </c>
      <c r="B26" s="859"/>
      <c r="C26" s="415">
        <v>4.28</v>
      </c>
      <c r="D26" s="415">
        <v>4.45</v>
      </c>
      <c r="E26" s="965">
        <f t="shared" si="0"/>
        <v>8.73</v>
      </c>
      <c r="F26" s="965"/>
      <c r="G26" s="966">
        <v>1.165</v>
      </c>
      <c r="H26" s="966"/>
      <c r="I26" s="578">
        <f t="shared" si="2"/>
        <v>10.170500000000001</v>
      </c>
      <c r="J26" s="579">
        <f t="shared" si="1"/>
        <v>56581.82</v>
      </c>
      <c r="M26" s="2"/>
      <c r="R26" s="858" t="s">
        <v>34</v>
      </c>
      <c r="S26" s="858"/>
      <c r="T26" s="889">
        <f t="shared" si="3"/>
        <v>0</v>
      </c>
      <c r="U26" s="889"/>
      <c r="V26" s="894">
        <v>1</v>
      </c>
      <c r="W26" s="894"/>
      <c r="X26" s="156">
        <f t="shared" si="4"/>
        <v>0</v>
      </c>
      <c r="Y26" s="266">
        <f t="shared" si="6"/>
        <v>0</v>
      </c>
    </row>
    <row r="27" spans="1:25" x14ac:dyDescent="0.25">
      <c r="A27" s="864" t="s">
        <v>35</v>
      </c>
      <c r="B27" s="864"/>
      <c r="C27" s="416">
        <v>3.37</v>
      </c>
      <c r="D27" s="416">
        <v>3.45</v>
      </c>
      <c r="E27" s="961">
        <f t="shared" si="0"/>
        <v>6.82</v>
      </c>
      <c r="F27" s="961"/>
      <c r="G27" s="962">
        <v>1.081</v>
      </c>
      <c r="H27" s="962"/>
      <c r="I27" s="22">
        <f t="shared" si="2"/>
        <v>7.3723999999999998</v>
      </c>
      <c r="J27" s="127">
        <f t="shared" si="1"/>
        <v>41015.07</v>
      </c>
      <c r="M27" s="2"/>
      <c r="R27" s="863" t="s">
        <v>35</v>
      </c>
      <c r="S27" s="863"/>
      <c r="T27" s="889">
        <f t="shared" si="3"/>
        <v>0</v>
      </c>
      <c r="U27" s="889"/>
      <c r="V27" s="904">
        <v>1</v>
      </c>
      <c r="W27" s="904"/>
      <c r="X27" s="156">
        <f t="shared" si="4"/>
        <v>0</v>
      </c>
      <c r="Y27" s="266">
        <f t="shared" si="6"/>
        <v>0</v>
      </c>
    </row>
    <row r="28" spans="1:25" ht="20.25" customHeight="1" x14ac:dyDescent="0.25">
      <c r="A28" s="963" t="s">
        <v>36</v>
      </c>
      <c r="B28" s="963"/>
      <c r="C28" s="106">
        <f>SUM(C12:C27)</f>
        <v>51.35</v>
      </c>
      <c r="D28" s="126">
        <f>SUM(D12:D27)</f>
        <v>51.430000000000007</v>
      </c>
      <c r="E28" s="964">
        <f>SUM(E12:E27)</f>
        <v>102.78</v>
      </c>
      <c r="F28" s="964"/>
      <c r="G28" s="959"/>
      <c r="H28" s="959"/>
      <c r="I28" s="23">
        <f>SUM(I12:I27)</f>
        <v>102.3305</v>
      </c>
      <c r="J28" s="127">
        <f>SUM(J12:J27)</f>
        <v>569298.05999999994</v>
      </c>
      <c r="M28" s="2"/>
      <c r="R28" s="905" t="s">
        <v>36</v>
      </c>
      <c r="S28" s="905"/>
      <c r="T28" s="906">
        <f>SUM(T12:T27)</f>
        <v>0</v>
      </c>
      <c r="U28" s="906"/>
      <c r="V28" s="907"/>
      <c r="W28" s="907"/>
      <c r="X28" s="158">
        <f>SUM(X12:X27)</f>
        <v>0</v>
      </c>
      <c r="Y28" s="266">
        <f>SUM(Y12:Y27)</f>
        <v>0</v>
      </c>
    </row>
    <row r="29" spans="1:25" ht="36" hidden="1" customHeight="1" x14ac:dyDescent="0.25">
      <c r="A29" s="866" t="s">
        <v>37</v>
      </c>
      <c r="B29" s="866"/>
      <c r="C29" s="866"/>
      <c r="D29" s="866"/>
      <c r="E29" s="866"/>
      <c r="F29" s="866"/>
      <c r="G29" s="866"/>
      <c r="H29" s="866"/>
      <c r="I29" s="866"/>
      <c r="J29" s="24"/>
      <c r="M29" s="2"/>
      <c r="R29" s="874" t="s">
        <v>37</v>
      </c>
      <c r="S29" s="874"/>
      <c r="T29" s="874"/>
      <c r="U29" s="874"/>
      <c r="V29" s="874"/>
      <c r="W29" s="874"/>
      <c r="X29" s="874"/>
      <c r="Y29" s="159"/>
    </row>
    <row r="30" spans="1:25" ht="56.25" hidden="1" customHeight="1" x14ac:dyDescent="0.25">
      <c r="A30" s="854" t="s">
        <v>38</v>
      </c>
      <c r="B30" s="854"/>
      <c r="C30" s="229"/>
      <c r="D30" s="229"/>
      <c r="E30" s="855" t="s">
        <v>39</v>
      </c>
      <c r="F30" s="856"/>
      <c r="G30" s="856"/>
      <c r="H30" s="856"/>
      <c r="I30" s="856"/>
      <c r="J30" s="18" t="s">
        <v>40</v>
      </c>
      <c r="L30" s="25"/>
      <c r="M30" s="25"/>
      <c r="R30" s="256" t="s">
        <v>38</v>
      </c>
      <c r="S30" s="256"/>
      <c r="T30" s="852" t="s">
        <v>162</v>
      </c>
      <c r="U30" s="853"/>
      <c r="V30" s="853"/>
      <c r="W30" s="853"/>
      <c r="X30" s="853"/>
      <c r="Y30" s="153" t="s">
        <v>40</v>
      </c>
    </row>
    <row r="31" spans="1:25" ht="20.25" hidden="1" customHeight="1" x14ac:dyDescent="0.25">
      <c r="A31" s="837" t="s">
        <v>41</v>
      </c>
      <c r="B31" s="837"/>
      <c r="C31" s="236"/>
      <c r="D31" s="236"/>
      <c r="E31" s="26"/>
      <c r="F31" s="26"/>
      <c r="G31" s="26"/>
      <c r="H31" s="26"/>
      <c r="I31" s="27"/>
      <c r="J31" s="28">
        <f>ROUND(ROUND(ROUND(I31*$E$6,4)*($I$6),0)*(MAX($I$7,1)),0)</f>
        <v>0</v>
      </c>
      <c r="M31" s="2"/>
      <c r="R31" s="858" t="s">
        <v>41</v>
      </c>
      <c r="S31" s="858"/>
      <c r="T31" s="908" t="e">
        <f>IF('[1]All charter school calculator'!X109=1,'[1]All charter school calculator'!X31,0)</f>
        <v>#REF!</v>
      </c>
      <c r="U31" s="908"/>
      <c r="V31" s="908"/>
      <c r="W31" s="908"/>
      <c r="X31" s="908"/>
      <c r="Y31" s="161">
        <f>J31</f>
        <v>0</v>
      </c>
    </row>
    <row r="32" spans="1:25" ht="20.25" hidden="1" customHeight="1" thickBot="1" x14ac:dyDescent="0.3">
      <c r="A32" s="910" t="s">
        <v>42</v>
      </c>
      <c r="B32" s="910"/>
      <c r="C32" s="910"/>
      <c r="D32" s="910"/>
      <c r="E32" s="910"/>
      <c r="F32" s="910"/>
      <c r="G32" s="29">
        <f>SUM(I31:I31)</f>
        <v>0</v>
      </c>
      <c r="H32" s="960" t="s">
        <v>43</v>
      </c>
      <c r="I32" s="960"/>
      <c r="J32" s="30">
        <f>SUM(J31:J31)</f>
        <v>0</v>
      </c>
      <c r="M32" s="2"/>
      <c r="R32" s="909" t="s">
        <v>42</v>
      </c>
      <c r="S32" s="909"/>
      <c r="T32" s="909"/>
      <c r="U32" s="909"/>
      <c r="V32" s="162" t="e">
        <f>SUM(T31:V31)</f>
        <v>#REF!</v>
      </c>
      <c r="W32" s="907" t="s">
        <v>43</v>
      </c>
      <c r="X32" s="907"/>
      <c r="Y32" s="163">
        <f>SUM(Y31:Y31)</f>
        <v>0</v>
      </c>
    </row>
    <row r="33" spans="1:25" ht="20.25" hidden="1" customHeight="1" thickBot="1" x14ac:dyDescent="0.3">
      <c r="A33" s="910" t="s">
        <v>44</v>
      </c>
      <c r="B33" s="910"/>
      <c r="C33" s="910"/>
      <c r="D33" s="910"/>
      <c r="E33" s="910"/>
      <c r="F33" s="910"/>
      <c r="G33" s="31">
        <f>G32+I28</f>
        <v>102.3305</v>
      </c>
      <c r="H33" s="959" t="s">
        <v>45</v>
      </c>
      <c r="I33" s="959"/>
      <c r="J33" s="32">
        <f>SUM(J32,J28)</f>
        <v>569298.05999999994</v>
      </c>
      <c r="M33" s="2"/>
      <c r="R33" s="909" t="s">
        <v>44</v>
      </c>
      <c r="S33" s="909"/>
      <c r="T33" s="909"/>
      <c r="U33" s="909"/>
      <c r="V33" s="164" t="e">
        <f>V32+X28</f>
        <v>#REF!</v>
      </c>
      <c r="W33" s="907" t="s">
        <v>45</v>
      </c>
      <c r="X33" s="90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5" t="s">
        <v>46</v>
      </c>
      <c r="B35" s="945"/>
      <c r="C35" s="945"/>
      <c r="D35" s="945"/>
      <c r="E35" s="945"/>
      <c r="F35" s="945"/>
      <c r="G35" s="248"/>
      <c r="J35" s="267"/>
      <c r="M35" s="2"/>
      <c r="R35" s="898" t="s">
        <v>46</v>
      </c>
      <c r="S35" s="860"/>
      <c r="T35" s="860"/>
      <c r="U35" s="860"/>
      <c r="V35" s="253"/>
      <c r="W35" s="170"/>
      <c r="X35" s="170"/>
      <c r="Y35" s="268"/>
    </row>
    <row r="36" spans="1:25" ht="20.25" customHeight="1" x14ac:dyDescent="0.25">
      <c r="A36" s="859" t="s">
        <v>47</v>
      </c>
      <c r="B36" s="859"/>
      <c r="C36" s="859"/>
      <c r="D36" s="859"/>
      <c r="E36" s="859"/>
      <c r="F36" s="248" t="s">
        <v>48</v>
      </c>
      <c r="G36" s="453">
        <v>570364.56999999995</v>
      </c>
      <c r="H36" s="223" t="s">
        <v>49</v>
      </c>
      <c r="I36" s="38">
        <v>6.6699999999999995E-2</v>
      </c>
      <c r="J36" s="131">
        <f>ROUND(G36*I36,2)</f>
        <v>38043.32</v>
      </c>
      <c r="K36" s="39"/>
      <c r="L36" s="233"/>
      <c r="M36" s="233"/>
      <c r="N36" s="233"/>
      <c r="O36" s="31"/>
      <c r="P36" s="232"/>
      <c r="Q36" s="232"/>
      <c r="R36" s="858" t="s">
        <v>47</v>
      </c>
      <c r="S36" s="858"/>
      <c r="T36" s="858"/>
      <c r="U36" s="253"/>
      <c r="V36" s="172">
        <v>0</v>
      </c>
      <c r="W36" s="239" t="s">
        <v>49</v>
      </c>
      <c r="X36" s="174">
        <v>6.6699999999999995E-2</v>
      </c>
      <c r="Y36" s="266">
        <f>ROUND(V36*X36,2)</f>
        <v>0</v>
      </c>
    </row>
    <row r="37" spans="1:25" ht="20.25" customHeight="1" x14ac:dyDescent="0.25">
      <c r="A37" s="859" t="s">
        <v>50</v>
      </c>
      <c r="B37" s="859"/>
      <c r="C37" s="859"/>
      <c r="D37" s="859"/>
      <c r="E37" s="859"/>
      <c r="F37" s="248" t="s">
        <v>48</v>
      </c>
      <c r="G37" s="453">
        <v>570364.56999999995</v>
      </c>
      <c r="H37" s="223" t="s">
        <v>49</v>
      </c>
      <c r="I37" s="38">
        <v>5.4000000000000003E-3</v>
      </c>
      <c r="J37" s="131">
        <f>ROUND(G37*I37,2)</f>
        <v>3079.97</v>
      </c>
      <c r="K37" s="39"/>
      <c r="L37" s="233"/>
      <c r="M37" s="233"/>
      <c r="N37" s="233"/>
      <c r="O37" s="31"/>
      <c r="P37" s="232"/>
      <c r="Q37" s="232"/>
      <c r="R37" s="858" t="s">
        <v>50</v>
      </c>
      <c r="S37" s="858"/>
      <c r="T37" s="858"/>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41123.29</v>
      </c>
      <c r="K38" s="39"/>
      <c r="L38" s="233"/>
      <c r="M38" s="233"/>
      <c r="N38" s="233"/>
      <c r="O38" s="31"/>
      <c r="P38" s="232"/>
      <c r="Q38" s="232"/>
      <c r="R38" s="860" t="s">
        <v>51</v>
      </c>
      <c r="S38" s="860"/>
      <c r="T38" s="860"/>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5" t="s">
        <v>53</v>
      </c>
      <c r="B40" s="955"/>
      <c r="C40" s="117" t="s">
        <v>159</v>
      </c>
      <c r="D40" s="117" t="s">
        <v>160</v>
      </c>
      <c r="E40" s="956" t="s">
        <v>158</v>
      </c>
      <c r="F40" s="956"/>
      <c r="G40" s="44" t="s">
        <v>55</v>
      </c>
      <c r="H40" s="250" t="s">
        <v>56</v>
      </c>
      <c r="I40" s="135" t="s">
        <v>57</v>
      </c>
      <c r="J40" s="44"/>
      <c r="K40" s="39"/>
      <c r="L40" s="233"/>
      <c r="M40" s="233"/>
      <c r="N40" s="233"/>
      <c r="O40" s="31"/>
      <c r="P40" s="232"/>
      <c r="Q40" s="232"/>
      <c r="R40" s="899" t="s">
        <v>53</v>
      </c>
      <c r="S40" s="899"/>
      <c r="T40" s="900" t="s">
        <v>54</v>
      </c>
      <c r="U40" s="900"/>
      <c r="V40" s="179" t="s">
        <v>55</v>
      </c>
      <c r="W40" s="246" t="s">
        <v>56</v>
      </c>
      <c r="X40" s="181" t="s">
        <v>57</v>
      </c>
      <c r="Y40" s="179"/>
    </row>
    <row r="41" spans="1:25" ht="17.25" customHeight="1" x14ac:dyDescent="0.25">
      <c r="A41" s="957" t="s">
        <v>58</v>
      </c>
      <c r="B41" s="957"/>
      <c r="C41" s="415">
        <v>0</v>
      </c>
      <c r="D41" s="415">
        <v>0</v>
      </c>
      <c r="E41" s="952">
        <f t="shared" ref="E41:E49" si="7">IF($D$50=0,C41*2,C41+D41)</f>
        <v>0</v>
      </c>
      <c r="F41" s="952"/>
      <c r="G41" s="223" t="s">
        <v>59</v>
      </c>
      <c r="H41" s="223">
        <v>251</v>
      </c>
      <c r="I41" s="136">
        <f>INDEX('[1]111-112-113 ADDITIONAL FUND'!D$1:D$65536,MATCH($A$1,'[1]111-112-113 ADDITIONAL FUND'!A$1:A$65536))</f>
        <v>1047</v>
      </c>
      <c r="J41" s="46">
        <f t="shared" ref="J41:J49" si="8">ROUND(E41*I41,2)</f>
        <v>0</v>
      </c>
      <c r="L41" s="3"/>
      <c r="M41" s="2"/>
      <c r="Q41" s="4"/>
      <c r="R41" s="901" t="s">
        <v>163</v>
      </c>
      <c r="S41" s="901"/>
      <c r="T41" s="865"/>
      <c r="U41" s="865"/>
      <c r="V41" s="239" t="s">
        <v>59</v>
      </c>
      <c r="W41" s="239">
        <v>251</v>
      </c>
      <c r="X41" s="134">
        <f t="shared" ref="X41:X49" si="9">I41</f>
        <v>1047</v>
      </c>
      <c r="Y41" s="269">
        <f>ROUND(T41*X41,2)</f>
        <v>0</v>
      </c>
    </row>
    <row r="42" spans="1:25" x14ac:dyDescent="0.25">
      <c r="A42" s="958"/>
      <c r="B42" s="958"/>
      <c r="C42" s="415">
        <v>0</v>
      </c>
      <c r="D42" s="415">
        <v>0</v>
      </c>
      <c r="E42" s="952">
        <f t="shared" si="7"/>
        <v>0</v>
      </c>
      <c r="F42" s="952"/>
      <c r="G42" s="223" t="s">
        <v>59</v>
      </c>
      <c r="H42" s="223">
        <v>252</v>
      </c>
      <c r="I42" s="136">
        <f>INDEX('[1]111-112-113 ADDITIONAL FUND'!E$1:E$65536,MATCH($A$1,'[1]111-112-113 ADDITIONAL FUND'!A$1:A$65536))</f>
        <v>3380</v>
      </c>
      <c r="J42" s="46">
        <f t="shared" si="8"/>
        <v>0</v>
      </c>
      <c r="M42" s="2"/>
      <c r="R42" s="901"/>
      <c r="S42" s="901"/>
      <c r="T42" s="902"/>
      <c r="U42" s="902"/>
      <c r="V42" s="239" t="s">
        <v>59</v>
      </c>
      <c r="W42" s="239">
        <v>252</v>
      </c>
      <c r="X42" s="134">
        <f t="shared" si="9"/>
        <v>3380</v>
      </c>
      <c r="Y42" s="269">
        <f t="shared" ref="Y42:Y49" si="10">ROUND(T42*X42,2)</f>
        <v>0</v>
      </c>
    </row>
    <row r="43" spans="1:25" x14ac:dyDescent="0.25">
      <c r="A43" s="958"/>
      <c r="B43" s="958"/>
      <c r="C43" s="415">
        <v>0</v>
      </c>
      <c r="D43" s="415">
        <v>0</v>
      </c>
      <c r="E43" s="952">
        <f t="shared" si="7"/>
        <v>0</v>
      </c>
      <c r="F43" s="952"/>
      <c r="G43" s="223" t="s">
        <v>59</v>
      </c>
      <c r="H43" s="223">
        <v>253</v>
      </c>
      <c r="I43" s="136">
        <f>INDEX('[1]111-112-113 ADDITIONAL FUND'!F$1:F$65536,MATCH($A$1,'[1]111-112-113 ADDITIONAL FUND'!A$1:A$65536))</f>
        <v>6896</v>
      </c>
      <c r="J43" s="46">
        <f t="shared" si="8"/>
        <v>0</v>
      </c>
      <c r="M43" s="2"/>
      <c r="R43" s="901"/>
      <c r="S43" s="901"/>
      <c r="T43" s="903"/>
      <c r="U43" s="903"/>
      <c r="V43" s="239" t="s">
        <v>59</v>
      </c>
      <c r="W43" s="239">
        <v>253</v>
      </c>
      <c r="X43" s="134">
        <f t="shared" si="9"/>
        <v>6896</v>
      </c>
      <c r="Y43" s="269">
        <f t="shared" si="10"/>
        <v>0</v>
      </c>
    </row>
    <row r="44" spans="1:25" ht="20.25" customHeight="1" x14ac:dyDescent="0.25">
      <c r="A44" s="958"/>
      <c r="B44" s="958"/>
      <c r="C44" s="415">
        <v>0</v>
      </c>
      <c r="D44" s="415">
        <v>0</v>
      </c>
      <c r="E44" s="952">
        <f t="shared" si="7"/>
        <v>0</v>
      </c>
      <c r="F44" s="952"/>
      <c r="G44" s="47" t="s">
        <v>60</v>
      </c>
      <c r="H44" s="223">
        <v>251</v>
      </c>
      <c r="I44" s="136">
        <f>INDEX('[1]111-112-113 ADDITIONAL FUND'!G$1:G$65536,MATCH($A$1,'[1]111-112-113 ADDITIONAL FUND'!A$1:A$65536))</f>
        <v>1173</v>
      </c>
      <c r="J44" s="137">
        <f t="shared" si="8"/>
        <v>0</v>
      </c>
      <c r="L44" s="3"/>
      <c r="M44" s="2"/>
      <c r="Q44" s="4"/>
      <c r="R44" s="901"/>
      <c r="S44" s="901"/>
      <c r="T44" s="903"/>
      <c r="U44" s="903"/>
      <c r="V44" s="182" t="s">
        <v>60</v>
      </c>
      <c r="W44" s="239">
        <v>251</v>
      </c>
      <c r="X44" s="134">
        <f t="shared" si="9"/>
        <v>1173</v>
      </c>
      <c r="Y44" s="269">
        <f t="shared" si="10"/>
        <v>0</v>
      </c>
    </row>
    <row r="45" spans="1:25" x14ac:dyDescent="0.25">
      <c r="A45" s="958"/>
      <c r="B45" s="958"/>
      <c r="C45" s="415">
        <v>0</v>
      </c>
      <c r="D45" s="415">
        <v>0</v>
      </c>
      <c r="E45" s="952">
        <f t="shared" si="7"/>
        <v>0</v>
      </c>
      <c r="F45" s="952"/>
      <c r="G45" s="47" t="s">
        <v>60</v>
      </c>
      <c r="H45" s="223">
        <v>252</v>
      </c>
      <c r="I45" s="136">
        <f>INDEX('[1]111-112-113 ADDITIONAL FUND'!H$1:H$65536,MATCH($A$1,'[1]111-112-113 ADDITIONAL FUND'!A$1:A$65536))</f>
        <v>3506</v>
      </c>
      <c r="J45" s="46">
        <f t="shared" si="8"/>
        <v>0</v>
      </c>
      <c r="M45" s="2"/>
      <c r="R45" s="901"/>
      <c r="S45" s="901"/>
      <c r="T45" s="903"/>
      <c r="U45" s="903"/>
      <c r="V45" s="182" t="s">
        <v>60</v>
      </c>
      <c r="W45" s="239">
        <v>252</v>
      </c>
      <c r="X45" s="134">
        <f t="shared" si="9"/>
        <v>3506</v>
      </c>
      <c r="Y45" s="269">
        <f t="shared" si="10"/>
        <v>0</v>
      </c>
    </row>
    <row r="46" spans="1:25" x14ac:dyDescent="0.25">
      <c r="A46" s="958"/>
      <c r="B46" s="958"/>
      <c r="C46" s="415">
        <v>0</v>
      </c>
      <c r="D46" s="415">
        <v>0</v>
      </c>
      <c r="E46" s="952">
        <f t="shared" si="7"/>
        <v>0</v>
      </c>
      <c r="F46" s="952"/>
      <c r="G46" s="47" t="s">
        <v>60</v>
      </c>
      <c r="H46" s="223">
        <v>253</v>
      </c>
      <c r="I46" s="136">
        <f>INDEX('[1]111-112-113 ADDITIONAL FUND'!I$1:I$65536,MATCH($A$1,'[1]111-112-113 ADDITIONAL FUND'!A$1:A$65536))</f>
        <v>7023</v>
      </c>
      <c r="J46" s="46">
        <f t="shared" si="8"/>
        <v>0</v>
      </c>
      <c r="M46" s="2"/>
      <c r="R46" s="901"/>
      <c r="S46" s="901"/>
      <c r="T46" s="903"/>
      <c r="U46" s="903"/>
      <c r="V46" s="182" t="s">
        <v>60</v>
      </c>
      <c r="W46" s="239">
        <v>253</v>
      </c>
      <c r="X46" s="134">
        <f t="shared" si="9"/>
        <v>7023</v>
      </c>
      <c r="Y46" s="269">
        <f t="shared" si="10"/>
        <v>0</v>
      </c>
    </row>
    <row r="47" spans="1:25" ht="16.5" customHeight="1" x14ac:dyDescent="0.25">
      <c r="A47" s="958"/>
      <c r="B47" s="958"/>
      <c r="C47" s="415">
        <v>7.7</v>
      </c>
      <c r="D47" s="415">
        <v>7.61</v>
      </c>
      <c r="E47" s="952">
        <f t="shared" si="7"/>
        <v>15.31</v>
      </c>
      <c r="F47" s="952"/>
      <c r="G47" s="47" t="s">
        <v>61</v>
      </c>
      <c r="H47" s="223">
        <v>251</v>
      </c>
      <c r="I47" s="136">
        <f>INDEX('[1]111-112-113 ADDITIONAL FUND'!J$1:J$65536,MATCH($A$1,'[1]111-112-113 ADDITIONAL FUND'!A$1:A$65536))</f>
        <v>835</v>
      </c>
      <c r="J47" s="46">
        <f t="shared" si="8"/>
        <v>12783.85</v>
      </c>
      <c r="M47" s="2"/>
      <c r="R47" s="901"/>
      <c r="S47" s="901"/>
      <c r="T47" s="903"/>
      <c r="U47" s="903"/>
      <c r="V47" s="182" t="s">
        <v>61</v>
      </c>
      <c r="W47" s="239">
        <v>251</v>
      </c>
      <c r="X47" s="134">
        <f t="shared" si="9"/>
        <v>835</v>
      </c>
      <c r="Y47" s="269">
        <f t="shared" si="10"/>
        <v>0</v>
      </c>
    </row>
    <row r="48" spans="1:25" ht="15.75" customHeight="1" x14ac:dyDescent="0.25">
      <c r="A48" s="958"/>
      <c r="B48" s="958"/>
      <c r="C48" s="415">
        <v>0.5</v>
      </c>
      <c r="D48" s="415">
        <v>0.49</v>
      </c>
      <c r="E48" s="952">
        <f t="shared" si="7"/>
        <v>0.99</v>
      </c>
      <c r="F48" s="952"/>
      <c r="G48" s="47" t="s">
        <v>61</v>
      </c>
      <c r="H48" s="223">
        <v>252</v>
      </c>
      <c r="I48" s="136">
        <f>INDEX('[1]111-112-113 ADDITIONAL FUND'!K$1:K$65536,MATCH($A$1,'[1]111-112-113 ADDITIONAL FUND'!A$1:A$65536))</f>
        <v>3168</v>
      </c>
      <c r="J48" s="46">
        <f t="shared" si="8"/>
        <v>3136.32</v>
      </c>
      <c r="M48" s="2"/>
      <c r="R48" s="901"/>
      <c r="S48" s="901"/>
      <c r="T48" s="903"/>
      <c r="U48" s="903"/>
      <c r="V48" s="182" t="s">
        <v>61</v>
      </c>
      <c r="W48" s="239">
        <v>252</v>
      </c>
      <c r="X48" s="134">
        <f t="shared" si="9"/>
        <v>3168</v>
      </c>
      <c r="Y48" s="269">
        <f t="shared" si="10"/>
        <v>0</v>
      </c>
    </row>
    <row r="49" spans="1:25" ht="15.75" customHeight="1" thickBot="1" x14ac:dyDescent="0.3">
      <c r="A49" s="958"/>
      <c r="B49" s="958"/>
      <c r="C49" s="415">
        <v>0</v>
      </c>
      <c r="D49" s="415">
        <v>0</v>
      </c>
      <c r="E49" s="953">
        <f t="shared" si="7"/>
        <v>0</v>
      </c>
      <c r="F49" s="953"/>
      <c r="G49" s="47" t="s">
        <v>61</v>
      </c>
      <c r="H49" s="223">
        <v>253</v>
      </c>
      <c r="I49" s="136">
        <f>INDEX('[1]111-112-113 ADDITIONAL FUND'!L$1:L$65536,MATCH($A$1,'[1]111-112-113 ADDITIONAL FUND'!A$1:A$65536))</f>
        <v>6685</v>
      </c>
      <c r="J49" s="46">
        <f t="shared" si="8"/>
        <v>0</v>
      </c>
      <c r="M49" s="2"/>
      <c r="R49" s="901"/>
      <c r="S49" s="901"/>
      <c r="T49" s="911"/>
      <c r="U49" s="911"/>
      <c r="V49" s="182" t="s">
        <v>61</v>
      </c>
      <c r="W49" s="239">
        <v>253</v>
      </c>
      <c r="X49" s="134">
        <f t="shared" si="9"/>
        <v>6685</v>
      </c>
      <c r="Y49" s="269">
        <f t="shared" si="10"/>
        <v>0</v>
      </c>
    </row>
    <row r="50" spans="1:25" ht="15.75" customHeight="1" thickBot="1" x14ac:dyDescent="0.3">
      <c r="A50" s="910" t="s">
        <v>62</v>
      </c>
      <c r="B50" s="910"/>
      <c r="C50" s="585">
        <f>SUM(C41:C49)</f>
        <v>8.1999999999999993</v>
      </c>
      <c r="D50" s="585">
        <f>SUM(D41:D49)</f>
        <v>8.1</v>
      </c>
      <c r="E50" s="954">
        <f>SUM(E41:E49)</f>
        <v>16.3</v>
      </c>
      <c r="F50" s="954"/>
      <c r="G50" s="910" t="s">
        <v>63</v>
      </c>
      <c r="H50" s="910"/>
      <c r="I50" s="910"/>
      <c r="J50" s="276">
        <f>SUM(J41:J49)</f>
        <v>15920.17</v>
      </c>
      <c r="M50" s="2"/>
      <c r="R50" s="909" t="s">
        <v>62</v>
      </c>
      <c r="S50" s="909"/>
      <c r="T50" s="912">
        <f>SUM(T42:T49)</f>
        <v>0</v>
      </c>
      <c r="U50" s="912"/>
      <c r="V50" s="909" t="s">
        <v>63</v>
      </c>
      <c r="W50" s="909"/>
      <c r="X50" s="909"/>
      <c r="Y50" s="270">
        <f>SUM(Y41:Y49)</f>
        <v>0</v>
      </c>
    </row>
    <row r="51" spans="1:25" ht="15.75" customHeight="1" x14ac:dyDescent="0.25">
      <c r="A51" s="233"/>
      <c r="B51" s="233"/>
      <c r="C51" s="233"/>
      <c r="D51" s="233"/>
      <c r="E51" s="232"/>
      <c r="F51" s="232"/>
      <c r="G51" s="233"/>
      <c r="H51" s="233"/>
      <c r="I51" s="233"/>
      <c r="J51" s="35"/>
      <c r="M51" s="2"/>
      <c r="R51" s="860" t="s">
        <v>64</v>
      </c>
      <c r="S51" s="860"/>
      <c r="T51" s="860"/>
      <c r="U51" s="860"/>
      <c r="V51" s="860"/>
      <c r="W51" s="860"/>
      <c r="X51" s="860"/>
      <c r="Y51" s="860"/>
    </row>
    <row r="52" spans="1:25" ht="29.25" customHeight="1" x14ac:dyDescent="0.25">
      <c r="A52" s="896" t="s">
        <v>64</v>
      </c>
      <c r="B52" s="896"/>
      <c r="C52" s="896"/>
      <c r="D52" s="896"/>
      <c r="E52" s="896"/>
      <c r="F52" s="896"/>
      <c r="G52" s="896"/>
      <c r="H52" s="896"/>
      <c r="I52" s="896"/>
      <c r="J52" s="896"/>
      <c r="M52" s="2"/>
      <c r="R52" s="915" t="s">
        <v>65</v>
      </c>
      <c r="S52" s="915"/>
      <c r="T52" s="183">
        <f>T28</f>
        <v>0</v>
      </c>
      <c r="U52" s="184" t="s">
        <v>66</v>
      </c>
      <c r="V52" s="185"/>
      <c r="W52" s="186" t="s">
        <v>67</v>
      </c>
      <c r="X52" s="917">
        <f>I53</f>
        <v>215320.92</v>
      </c>
      <c r="Y52" s="917"/>
    </row>
    <row r="53" spans="1:25" ht="16.5" customHeight="1" x14ac:dyDescent="0.25">
      <c r="A53" s="897" t="s">
        <v>65</v>
      </c>
      <c r="B53" s="897"/>
      <c r="C53" s="237"/>
      <c r="D53" s="237"/>
      <c r="E53" s="48">
        <f>E28</f>
        <v>102.78</v>
      </c>
      <c r="F53" s="49" t="s">
        <v>66</v>
      </c>
      <c r="G53" s="3"/>
      <c r="H53" s="50" t="s">
        <v>67</v>
      </c>
      <c r="I53" s="993">
        <f>INDEX('[1]Detail 2025-26 FEFP Second'!E$1:E$65536,MATCH(A1,'[1]Detail 2025-26 FEFP Second'!A$1:A$65536))</f>
        <v>215320.92</v>
      </c>
      <c r="J53" s="993"/>
      <c r="M53" s="2"/>
      <c r="R53" s="255"/>
      <c r="S53" s="243"/>
      <c r="T53" s="170"/>
      <c r="U53" s="170"/>
      <c r="V53" s="170"/>
      <c r="W53" s="189" t="s">
        <v>68</v>
      </c>
      <c r="X53" s="918">
        <f>ROUND(T52/X52,6)</f>
        <v>0</v>
      </c>
      <c r="Y53" s="918"/>
    </row>
    <row r="54" spans="1:25" ht="22.5" customHeight="1" x14ac:dyDescent="0.25">
      <c r="A54" s="237"/>
      <c r="B54" s="230"/>
      <c r="C54" s="230"/>
      <c r="D54" s="230"/>
      <c r="H54" s="53" t="s">
        <v>68</v>
      </c>
      <c r="I54" s="943">
        <f>IFERROR(ROUND(E53/I53,6),0)</f>
        <v>4.7699999999999999E-4</v>
      </c>
      <c r="J54" s="943"/>
      <c r="M54" s="2"/>
      <c r="R54" s="860" t="s">
        <v>164</v>
      </c>
      <c r="S54" s="860"/>
      <c r="T54" s="860"/>
      <c r="U54" s="860"/>
      <c r="V54" s="860"/>
      <c r="W54" s="860"/>
      <c r="X54" s="860"/>
      <c r="Y54" s="860"/>
    </row>
    <row r="55" spans="1:25" ht="15" customHeight="1" x14ac:dyDescent="0.25">
      <c r="A55" s="896" t="s">
        <v>69</v>
      </c>
      <c r="B55" s="896"/>
      <c r="C55" s="896"/>
      <c r="D55" s="896"/>
      <c r="E55" s="896"/>
      <c r="F55" s="896"/>
      <c r="G55" s="896"/>
      <c r="H55" s="896"/>
      <c r="I55" s="896"/>
      <c r="J55" s="896"/>
      <c r="M55" s="2"/>
      <c r="R55" s="915" t="s">
        <v>70</v>
      </c>
      <c r="S55" s="915"/>
      <c r="T55" s="183">
        <f>E56</f>
        <v>102.3305</v>
      </c>
      <c r="U55" s="184" t="s">
        <v>66</v>
      </c>
      <c r="V55" s="185"/>
      <c r="W55" s="186" t="s">
        <v>71</v>
      </c>
      <c r="X55" s="917">
        <f>I56</f>
        <v>229051.25000000003</v>
      </c>
      <c r="Y55" s="917"/>
    </row>
    <row r="56" spans="1:25" ht="16.5" customHeight="1" x14ac:dyDescent="0.25">
      <c r="A56" s="897" t="s">
        <v>70</v>
      </c>
      <c r="B56" s="897"/>
      <c r="C56" s="237"/>
      <c r="D56" s="237"/>
      <c r="E56" s="48">
        <f>G33</f>
        <v>102.3305</v>
      </c>
      <c r="F56" s="49" t="s">
        <v>66</v>
      </c>
      <c r="G56" s="3"/>
      <c r="H56" s="50" t="s">
        <v>71</v>
      </c>
      <c r="I56" s="993">
        <f>INDEX('[1]Detail 2025-26 FEFP Second'!F$1:F$65536,MATCH(A1,'[1]Detail 2025-26 FEFP Second'!A$1:A$65536))</f>
        <v>229051.25000000003</v>
      </c>
      <c r="J56" s="993"/>
      <c r="M56" s="2"/>
      <c r="R56" s="255"/>
      <c r="S56" s="170"/>
      <c r="T56" s="170"/>
      <c r="U56" s="170"/>
      <c r="V56" s="170"/>
      <c r="W56" s="189" t="s">
        <v>68</v>
      </c>
      <c r="X56" s="918">
        <f>ROUND(T55/X55,6)</f>
        <v>4.4700000000000002E-4</v>
      </c>
      <c r="Y56" s="918"/>
    </row>
    <row r="57" spans="1:25" ht="18.75" customHeight="1" x14ac:dyDescent="0.25">
      <c r="A57" s="237"/>
      <c r="H57" s="53" t="s">
        <v>68</v>
      </c>
      <c r="I57" s="943">
        <f>IFERROR(ROUND(E56/I56,6),0)</f>
        <v>4.4700000000000002E-4</v>
      </c>
      <c r="J57" s="943"/>
      <c r="M57" s="2"/>
      <c r="P57" s="235"/>
      <c r="Q57" s="54"/>
      <c r="R57" s="860" t="s">
        <v>72</v>
      </c>
      <c r="S57" s="860"/>
      <c r="T57" s="860"/>
      <c r="U57" s="860"/>
      <c r="V57" s="860"/>
      <c r="W57" s="860"/>
      <c r="X57" s="860"/>
      <c r="Y57" s="860"/>
    </row>
    <row r="58" spans="1:25" ht="18.75" customHeight="1" x14ac:dyDescent="0.25">
      <c r="A58" s="896" t="s">
        <v>72</v>
      </c>
      <c r="B58" s="896"/>
      <c r="C58" s="896"/>
      <c r="D58" s="896"/>
      <c r="E58" s="896"/>
      <c r="F58" s="896"/>
      <c r="G58" s="896"/>
      <c r="H58" s="896"/>
      <c r="I58" s="896"/>
      <c r="J58" s="896"/>
      <c r="M58" s="2"/>
      <c r="R58" s="915" t="s">
        <v>73</v>
      </c>
      <c r="S58" s="915"/>
      <c r="T58" s="183">
        <f>T28</f>
        <v>0</v>
      </c>
      <c r="U58" s="184" t="s">
        <v>66</v>
      </c>
      <c r="V58" s="916" t="s">
        <v>74</v>
      </c>
      <c r="W58" s="916"/>
      <c r="X58" s="917">
        <f>I59</f>
        <v>186156.17</v>
      </c>
      <c r="Y58" s="917"/>
    </row>
    <row r="59" spans="1:25" ht="18.75" customHeight="1" x14ac:dyDescent="0.25">
      <c r="A59" s="897" t="s">
        <v>73</v>
      </c>
      <c r="B59" s="897"/>
      <c r="C59" s="237"/>
      <c r="D59" s="237"/>
      <c r="E59" s="48">
        <f>E28</f>
        <v>102.78</v>
      </c>
      <c r="F59" s="49" t="s">
        <v>66</v>
      </c>
      <c r="G59" s="988" t="s">
        <v>74</v>
      </c>
      <c r="H59" s="988"/>
      <c r="I59" s="993">
        <f>INDEX('[1]Detail 2025-26 FEFP Second'!H$1:H$65536,MATCH(A1,'[1]Detail 2025-26 FEFP Second'!A$1:A$65536))</f>
        <v>186156.17</v>
      </c>
      <c r="J59" s="993"/>
      <c r="M59" s="2"/>
      <c r="R59" s="255"/>
      <c r="S59" s="170"/>
      <c r="T59" s="170"/>
      <c r="U59" s="170"/>
      <c r="V59" s="170"/>
      <c r="W59" s="189" t="s">
        <v>68</v>
      </c>
      <c r="X59" s="918">
        <f>ROUND(T58/X58,6)</f>
        <v>0</v>
      </c>
      <c r="Y59" s="918"/>
    </row>
    <row r="60" spans="1:25" ht="18" customHeight="1" x14ac:dyDescent="0.25">
      <c r="A60" s="237"/>
      <c r="H60" s="53" t="s">
        <v>68</v>
      </c>
      <c r="I60" s="943">
        <f>IFERROR(ROUND(E59/I59,6),0)</f>
        <v>5.5199999999999997E-4</v>
      </c>
      <c r="J60" s="943"/>
      <c r="M60" s="2"/>
      <c r="R60" s="860" t="s">
        <v>75</v>
      </c>
      <c r="S60" s="860"/>
      <c r="T60" s="860"/>
      <c r="U60" s="860"/>
      <c r="V60" s="860"/>
      <c r="W60" s="860"/>
      <c r="X60" s="860"/>
      <c r="Y60" s="860"/>
    </row>
    <row r="61" spans="1:25" ht="19.5" customHeight="1" x14ac:dyDescent="0.25">
      <c r="A61" s="896" t="s">
        <v>75</v>
      </c>
      <c r="B61" s="896"/>
      <c r="C61" s="896"/>
      <c r="D61" s="896"/>
      <c r="E61" s="896"/>
      <c r="F61" s="896"/>
      <c r="G61" s="896"/>
      <c r="H61" s="896"/>
      <c r="I61" s="896"/>
      <c r="J61" s="896"/>
      <c r="M61" s="2"/>
      <c r="R61" s="915" t="s">
        <v>73</v>
      </c>
      <c r="S61" s="915"/>
      <c r="T61" s="183">
        <f>T28</f>
        <v>0</v>
      </c>
      <c r="U61" s="184" t="s">
        <v>66</v>
      </c>
      <c r="V61" s="916" t="s">
        <v>76</v>
      </c>
      <c r="W61" s="916"/>
      <c r="X61" s="917">
        <f>I62</f>
        <v>215016.58000000002</v>
      </c>
      <c r="Y61" s="917"/>
    </row>
    <row r="62" spans="1:25" ht="30.75" customHeight="1" x14ac:dyDescent="0.25">
      <c r="A62" s="897" t="s">
        <v>73</v>
      </c>
      <c r="B62" s="897"/>
      <c r="C62" s="237"/>
      <c r="D62" s="237"/>
      <c r="E62" s="48">
        <f>E28</f>
        <v>102.78</v>
      </c>
      <c r="F62" s="49" t="s">
        <v>66</v>
      </c>
      <c r="G62" s="988" t="s">
        <v>76</v>
      </c>
      <c r="H62" s="988"/>
      <c r="I62" s="993">
        <f>INDEX('[1]Detail 2025-26 FEFP Second'!G$1:G$65536,MATCH(A1,'[1]Detail 2025-26 FEFP Second'!A$1:A$65536))</f>
        <v>215016.58000000002</v>
      </c>
      <c r="J62" s="993"/>
      <c r="M62" s="2"/>
      <c r="R62" s="255"/>
      <c r="S62" s="170"/>
      <c r="T62" s="170"/>
      <c r="U62" s="170"/>
      <c r="V62" s="170"/>
      <c r="W62" s="189" t="s">
        <v>68</v>
      </c>
      <c r="X62" s="918">
        <f>ROUND(T61/X61,6)</f>
        <v>0</v>
      </c>
      <c r="Y62" s="918"/>
    </row>
    <row r="63" spans="1:25" ht="19.5" customHeight="1" x14ac:dyDescent="0.25">
      <c r="A63" s="237"/>
      <c r="H63" s="53" t="s">
        <v>68</v>
      </c>
      <c r="I63" s="943">
        <f>IFERROR(ROUND(E62/I62,6),0)</f>
        <v>4.7800000000000002E-4</v>
      </c>
      <c r="J63" s="943"/>
      <c r="L63" s="55"/>
      <c r="M63" s="56"/>
      <c r="O63" s="57"/>
      <c r="P63" s="58"/>
      <c r="R63" s="860" t="s">
        <v>77</v>
      </c>
      <c r="S63" s="860"/>
      <c r="T63" s="860"/>
      <c r="U63" s="860"/>
      <c r="V63" s="860"/>
      <c r="W63" s="860"/>
      <c r="X63" s="860"/>
      <c r="Y63" s="860"/>
    </row>
    <row r="64" spans="1:25" ht="15" customHeight="1" x14ac:dyDescent="0.25">
      <c r="A64" s="896" t="s">
        <v>77</v>
      </c>
      <c r="B64" s="896"/>
      <c r="C64" s="896"/>
      <c r="D64" s="896"/>
      <c r="E64" s="896"/>
      <c r="F64" s="896"/>
      <c r="G64" s="896"/>
      <c r="H64" s="896"/>
      <c r="I64" s="896"/>
      <c r="J64" s="896"/>
      <c r="M64" s="2"/>
      <c r="R64" s="915" t="s">
        <v>73</v>
      </c>
      <c r="S64" s="915"/>
      <c r="T64" s="183">
        <f>T28</f>
        <v>0</v>
      </c>
      <c r="U64" s="184" t="s">
        <v>66</v>
      </c>
      <c r="V64" s="916" t="s">
        <v>165</v>
      </c>
      <c r="W64" s="916"/>
      <c r="X64" s="917">
        <f>I65</f>
        <v>185851.83000000002</v>
      </c>
      <c r="Y64" s="917"/>
    </row>
    <row r="65" spans="1:26" ht="49.5" customHeight="1" x14ac:dyDescent="0.25">
      <c r="A65" s="897" t="s">
        <v>73</v>
      </c>
      <c r="B65" s="897"/>
      <c r="C65" s="237"/>
      <c r="D65" s="237"/>
      <c r="E65" s="48">
        <f>E28</f>
        <v>102.78</v>
      </c>
      <c r="F65" s="49" t="s">
        <v>66</v>
      </c>
      <c r="G65" s="988" t="s">
        <v>78</v>
      </c>
      <c r="H65" s="988"/>
      <c r="I65" s="993">
        <f>INDEX('[1]Detail 2025-26 FEFP Second'!I$1:I$65536,MATCH(A1,'[1]Detail 2025-26 FEFP Second'!A$1:A$65536))</f>
        <v>185851.83000000002</v>
      </c>
      <c r="J65" s="993"/>
      <c r="M65" s="2"/>
      <c r="R65" s="190"/>
      <c r="S65" s="170"/>
      <c r="T65" s="170"/>
      <c r="U65" s="170"/>
      <c r="V65" s="170"/>
      <c r="W65" s="189" t="s">
        <v>68</v>
      </c>
      <c r="X65" s="918">
        <f>ROUND(T64/X64,6)</f>
        <v>0</v>
      </c>
      <c r="Y65" s="918"/>
    </row>
    <row r="66" spans="1:26" ht="19.5" customHeight="1" x14ac:dyDescent="0.25">
      <c r="A66" s="237"/>
      <c r="H66" s="53" t="s">
        <v>68</v>
      </c>
      <c r="I66" s="943">
        <f>IFERROR(ROUND(E65/I65,6),0)</f>
        <v>5.53E-4</v>
      </c>
      <c r="J66" s="943"/>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0" t="s">
        <v>79</v>
      </c>
      <c r="S67" s="860"/>
      <c r="T67" s="860"/>
      <c r="U67" s="253"/>
      <c r="V67" s="193">
        <f>G68</f>
        <v>47290747</v>
      </c>
      <c r="W67" s="239" t="s">
        <v>81</v>
      </c>
      <c r="X67" s="176">
        <f>X62</f>
        <v>0</v>
      </c>
      <c r="Y67" s="271">
        <f>ROUND(V67*X67,2)</f>
        <v>0</v>
      </c>
    </row>
    <row r="68" spans="1:26" ht="30.75" customHeight="1" x14ac:dyDescent="0.25">
      <c r="A68" s="944" t="s">
        <v>79</v>
      </c>
      <c r="B68" s="944"/>
      <c r="C68" s="944"/>
      <c r="D68" s="944"/>
      <c r="E68" s="944"/>
      <c r="F68" s="248" t="s">
        <v>80</v>
      </c>
      <c r="G68" s="277">
        <f>INDEX('[1]Detail 2025-26 FEFP Second'!N$1:N$65536,MATCH(A1,'[1]Detail 2025-26 FEFP Second'!A$1:A$65536))</f>
        <v>47290747</v>
      </c>
      <c r="H68" s="223" t="s">
        <v>81</v>
      </c>
      <c r="I68" s="41">
        <f>I63</f>
        <v>4.7800000000000002E-4</v>
      </c>
      <c r="J68" s="138">
        <f>ROUND(G68*I68,2)</f>
        <v>22604.98</v>
      </c>
      <c r="M68" s="2"/>
      <c r="R68" s="898" t="s">
        <v>82</v>
      </c>
      <c r="S68" s="898"/>
      <c r="T68" s="240"/>
      <c r="U68" s="253"/>
      <c r="V68" s="194"/>
      <c r="W68" s="239"/>
      <c r="X68" s="176"/>
      <c r="Y68" s="271"/>
    </row>
    <row r="69" spans="1:26" ht="30.75" customHeight="1" x14ac:dyDescent="0.25">
      <c r="A69" s="945" t="s">
        <v>82</v>
      </c>
      <c r="B69" s="945"/>
      <c r="C69" s="234"/>
      <c r="D69" s="234"/>
      <c r="E69" s="235"/>
      <c r="F69" s="248"/>
      <c r="G69" s="63"/>
      <c r="H69" s="223"/>
      <c r="I69" s="41"/>
      <c r="J69" s="62"/>
      <c r="M69" s="2"/>
      <c r="R69" s="921" t="s">
        <v>166</v>
      </c>
      <c r="S69" s="915"/>
      <c r="T69" s="915"/>
      <c r="U69" s="253"/>
      <c r="V69" s="195">
        <f>G70</f>
        <v>0</v>
      </c>
      <c r="W69" s="239" t="s">
        <v>81</v>
      </c>
      <c r="X69" s="176">
        <f>X53</f>
        <v>0</v>
      </c>
      <c r="Y69" s="266">
        <f t="shared" ref="Y69:Y71" si="11">ROUND(V69*X69,2)</f>
        <v>0</v>
      </c>
    </row>
    <row r="70" spans="1:26" ht="17.25" customHeight="1" x14ac:dyDescent="0.25">
      <c r="A70" s="946" t="s">
        <v>83</v>
      </c>
      <c r="B70" s="946"/>
      <c r="C70" s="946"/>
      <c r="D70" s="946"/>
      <c r="E70" s="946"/>
      <c r="F70" s="248" t="s">
        <v>84</v>
      </c>
      <c r="G70" s="277">
        <f>INDEX('[1]Detail 2025-26 FEFP Second'!L$1:L$65536,MATCH(A1,'[1]Detail 2025-26 FEFP Second'!A$1:A$65536))</f>
        <v>0</v>
      </c>
      <c r="H70" s="223" t="s">
        <v>81</v>
      </c>
      <c r="I70" s="41">
        <f>I54</f>
        <v>4.7699999999999999E-4</v>
      </c>
      <c r="J70" s="138">
        <f>ROUND(G70*I70,2)</f>
        <v>0</v>
      </c>
      <c r="M70" s="2"/>
      <c r="R70" s="860" t="s">
        <v>167</v>
      </c>
      <c r="S70" s="860"/>
      <c r="T70" s="860"/>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5.53E-4</v>
      </c>
      <c r="J71" s="138">
        <f>ROUND(G71*I71,2)</f>
        <v>10599.84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5.5199999999999997E-4</v>
      </c>
      <c r="J72" s="138">
        <f>ROUND(G72*I72,2)</f>
        <v>6373.88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1" t="s">
        <v>91</v>
      </c>
      <c r="S73" s="851"/>
      <c r="T73" s="852" t="s">
        <v>170</v>
      </c>
      <c r="U73" s="853"/>
      <c r="V73" s="853"/>
      <c r="W73" s="853"/>
      <c r="X73" s="853"/>
      <c r="Y73" s="153"/>
    </row>
    <row r="74" spans="1:26" ht="63" customHeight="1" x14ac:dyDescent="0.25">
      <c r="A74" s="854" t="s">
        <v>91</v>
      </c>
      <c r="B74" s="854"/>
      <c r="C74" s="229"/>
      <c r="D74" s="229"/>
      <c r="E74" s="855" t="s">
        <v>92</v>
      </c>
      <c r="F74" s="856"/>
      <c r="G74" s="856"/>
      <c r="H74" s="856"/>
      <c r="I74" s="856"/>
      <c r="J74" s="18"/>
      <c r="M74" s="2"/>
      <c r="R74" s="857" t="s">
        <v>93</v>
      </c>
      <c r="S74" s="857"/>
      <c r="T74" s="197"/>
      <c r="U74" s="197"/>
      <c r="V74" s="197"/>
      <c r="W74" s="197"/>
      <c r="X74" s="197"/>
      <c r="Y74" s="197"/>
    </row>
    <row r="75" spans="1:26" ht="22.5" customHeight="1" x14ac:dyDescent="0.25">
      <c r="A75" s="837" t="s">
        <v>93</v>
      </c>
      <c r="B75" s="837"/>
      <c r="C75" s="236"/>
      <c r="D75" s="236"/>
      <c r="E75" s="65"/>
      <c r="F75" s="65"/>
      <c r="G75" s="65"/>
      <c r="H75" s="65"/>
      <c r="I75" s="65"/>
      <c r="J75" s="129"/>
      <c r="L75" s="66"/>
      <c r="M75" s="2"/>
      <c r="O75" s="248"/>
      <c r="P75" s="248"/>
      <c r="R75" s="857" t="s">
        <v>94</v>
      </c>
      <c r="S75" s="857"/>
      <c r="T75" s="197"/>
      <c r="U75" s="197"/>
      <c r="V75" s="197"/>
      <c r="W75" s="197"/>
      <c r="X75" s="197"/>
      <c r="Y75" s="197"/>
    </row>
    <row r="76" spans="1:26" ht="18.75" customHeight="1" x14ac:dyDescent="0.25">
      <c r="A76" s="837" t="s">
        <v>94</v>
      </c>
      <c r="B76" s="837"/>
      <c r="C76" s="236"/>
      <c r="D76" s="236"/>
      <c r="E76" s="65"/>
      <c r="F76" s="65"/>
      <c r="G76" s="65"/>
      <c r="H76" s="65"/>
      <c r="I76" s="65"/>
      <c r="J76" s="129"/>
      <c r="L76" s="67"/>
      <c r="M76" s="2"/>
      <c r="O76" s="248"/>
      <c r="P76" s="248"/>
      <c r="R76" s="861" t="s">
        <v>95</v>
      </c>
      <c r="S76" s="861"/>
      <c r="T76" s="198"/>
      <c r="U76" s="198"/>
      <c r="V76" s="198"/>
      <c r="W76" s="198"/>
      <c r="X76" s="198"/>
      <c r="Y76" s="197"/>
    </row>
    <row r="77" spans="1:26" ht="18.75" customHeight="1" x14ac:dyDescent="0.25">
      <c r="A77" s="862" t="s">
        <v>95</v>
      </c>
      <c r="B77" s="862"/>
      <c r="C77" s="244"/>
      <c r="D77" s="244"/>
      <c r="E77" s="68"/>
      <c r="F77" s="68"/>
      <c r="G77" s="68"/>
      <c r="H77" s="68"/>
      <c r="I77" s="68"/>
      <c r="J77" s="128">
        <v>1.76</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7" t="s">
        <v>97</v>
      </c>
      <c r="S78" s="857"/>
      <c r="T78" s="197"/>
      <c r="U78" s="197"/>
      <c r="V78" s="197"/>
      <c r="W78" s="197"/>
      <c r="X78" s="197"/>
      <c r="Y78" s="197"/>
      <c r="Z78" s="72"/>
    </row>
    <row r="79" spans="1:26" ht="18.75" customHeight="1" x14ac:dyDescent="0.25">
      <c r="A79" s="837" t="s">
        <v>97</v>
      </c>
      <c r="B79" s="837"/>
      <c r="C79" s="236"/>
      <c r="D79" s="236"/>
      <c r="E79" s="65"/>
      <c r="F79" s="65"/>
      <c r="G79" s="65"/>
      <c r="H79" s="65"/>
      <c r="I79" s="65"/>
      <c r="J79" s="129"/>
      <c r="K79" s="70"/>
      <c r="L79" s="70"/>
      <c r="M79" s="71"/>
      <c r="N79" s="70"/>
      <c r="O79" s="70"/>
      <c r="P79" s="70"/>
      <c r="Q79" s="70"/>
      <c r="R79" s="863" t="s">
        <v>98</v>
      </c>
      <c r="S79" s="863"/>
      <c r="T79" s="200"/>
      <c r="U79" s="200"/>
      <c r="V79" s="200"/>
      <c r="W79" s="200"/>
      <c r="X79" s="200"/>
      <c r="Y79" s="197"/>
      <c r="Z79" s="72"/>
    </row>
    <row r="80" spans="1:26" ht="17.25" customHeight="1" x14ac:dyDescent="0.25">
      <c r="A80" s="864" t="s">
        <v>98</v>
      </c>
      <c r="B80" s="864"/>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1.76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8" t="s">
        <v>101</v>
      </c>
      <c r="S83" s="858"/>
      <c r="T83" s="170"/>
      <c r="U83" s="170"/>
      <c r="V83" s="171">
        <f>G84</f>
        <v>63269727</v>
      </c>
      <c r="W83" s="239" t="s">
        <v>81</v>
      </c>
      <c r="X83" s="176">
        <f>IFERROR(ROUND(Y80/Y81,6),0)</f>
        <v>0</v>
      </c>
      <c r="Y83" s="266">
        <f>ROUND(V83*X83,2)</f>
        <v>0</v>
      </c>
      <c r="Z83" s="72"/>
    </row>
    <row r="84" spans="1:26" ht="21" customHeight="1" x14ac:dyDescent="0.25">
      <c r="A84" s="859" t="s">
        <v>101</v>
      </c>
      <c r="B84" s="859"/>
      <c r="C84" s="230"/>
      <c r="D84" s="230"/>
      <c r="G84" s="121">
        <f>INDEX('[1]Detail 2025-26 FEFP Second'!O$1:O$65536,MATCH(A1,'[1]Detail 2025-26 FEFP Second'!A$1:A$65536))</f>
        <v>63269727</v>
      </c>
      <c r="H84" s="223" t="s">
        <v>81</v>
      </c>
      <c r="I84" s="41">
        <f>IFERROR(ROUND(J81/J82,6),0)</f>
        <v>1.54E-4</v>
      </c>
      <c r="J84" s="62">
        <f>ROUND(G84*I84,2)</f>
        <v>9743.5400000000009</v>
      </c>
      <c r="K84" s="70"/>
      <c r="L84" s="70"/>
      <c r="M84" s="71"/>
      <c r="N84" s="70"/>
      <c r="O84" s="70"/>
      <c r="P84" s="70"/>
      <c r="Q84" s="70"/>
      <c r="R84" s="860" t="s">
        <v>171</v>
      </c>
      <c r="S84" s="860"/>
      <c r="T84" s="860"/>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4.4700000000000002E-4</v>
      </c>
      <c r="J85" s="138">
        <f>ROUND(G85*I85,2)</f>
        <v>120160.88</v>
      </c>
      <c r="K85" s="70"/>
      <c r="L85" s="70"/>
      <c r="M85" s="71"/>
      <c r="N85" s="70"/>
      <c r="O85" s="70"/>
      <c r="P85" s="70"/>
      <c r="Q85" s="70"/>
      <c r="R85" s="860" t="s">
        <v>172</v>
      </c>
      <c r="S85" s="860"/>
      <c r="T85" s="860"/>
      <c r="U85" s="253"/>
      <c r="V85" s="171">
        <f>G85</f>
        <v>268816278</v>
      </c>
      <c r="W85" s="239" t="s">
        <v>81</v>
      </c>
      <c r="X85" s="176">
        <f>X56</f>
        <v>4.4700000000000002E-4</v>
      </c>
      <c r="Y85" s="266">
        <f t="shared" ref="Y85:Y87" si="12">ROUND(V85*X85,2)</f>
        <v>120160.88</v>
      </c>
    </row>
    <row r="86" spans="1:26" ht="14.25" customHeight="1" x14ac:dyDescent="0.25">
      <c r="A86" s="896" t="s">
        <v>104</v>
      </c>
      <c r="B86" s="896"/>
      <c r="C86" s="896"/>
      <c r="D86" s="896"/>
      <c r="E86" s="896"/>
      <c r="F86" s="248" t="s">
        <v>103</v>
      </c>
      <c r="G86" s="139">
        <v>0</v>
      </c>
      <c r="H86" s="223" t="s">
        <v>81</v>
      </c>
      <c r="I86" s="41">
        <f>I57</f>
        <v>4.4700000000000002E-4</v>
      </c>
      <c r="J86" s="138">
        <f>ROUND(G86*I86,2)</f>
        <v>0</v>
      </c>
      <c r="K86" s="70"/>
      <c r="L86" s="71"/>
      <c r="M86" s="76"/>
      <c r="N86" s="76"/>
      <c r="O86" s="76"/>
      <c r="P86" s="76"/>
      <c r="Q86" s="70"/>
      <c r="R86" s="860" t="s">
        <v>173</v>
      </c>
      <c r="S86" s="860"/>
      <c r="T86" s="860"/>
      <c r="U86" s="253"/>
      <c r="V86" s="203">
        <f>G86</f>
        <v>0</v>
      </c>
      <c r="W86" s="239" t="s">
        <v>81</v>
      </c>
      <c r="X86" s="176">
        <f>X56</f>
        <v>4.4700000000000002E-4</v>
      </c>
      <c r="Y86" s="266">
        <f t="shared" si="12"/>
        <v>0</v>
      </c>
    </row>
    <row r="87" spans="1:26" ht="18" customHeight="1" x14ac:dyDescent="0.25">
      <c r="A87" s="896" t="s">
        <v>105</v>
      </c>
      <c r="B87" s="896"/>
      <c r="C87" s="896"/>
      <c r="D87" s="896"/>
      <c r="E87" s="896"/>
      <c r="F87" s="248" t="s">
        <v>84</v>
      </c>
      <c r="G87" s="139">
        <v>0</v>
      </c>
      <c r="H87" s="223" t="s">
        <v>81</v>
      </c>
      <c r="I87" s="41">
        <f>I54</f>
        <v>4.7699999999999999E-4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60" t="s">
        <v>175</v>
      </c>
      <c r="S88" s="860"/>
      <c r="T88" s="860"/>
      <c r="U88" s="860"/>
      <c r="V88" s="860"/>
      <c r="W88" s="860"/>
      <c r="X88" s="860"/>
      <c r="Y88" s="860"/>
    </row>
    <row r="89" spans="1:26" ht="15.75" customHeight="1" x14ac:dyDescent="0.25">
      <c r="A89" s="78"/>
      <c r="B89" s="79" t="s">
        <v>107</v>
      </c>
      <c r="C89" s="79"/>
      <c r="D89" s="866" t="s">
        <v>108</v>
      </c>
      <c r="E89" s="866"/>
      <c r="F89" s="866"/>
      <c r="G89" s="987" t="s">
        <v>109</v>
      </c>
      <c r="H89" s="987"/>
      <c r="I89" s="987"/>
      <c r="J89" s="987"/>
      <c r="K89" s="70"/>
      <c r="L89" s="70"/>
      <c r="M89" s="71"/>
      <c r="N89" s="70"/>
      <c r="O89" s="70"/>
      <c r="P89" s="70"/>
      <c r="Q89" s="70"/>
      <c r="R89" s="929" t="s">
        <v>107</v>
      </c>
      <c r="S89" s="929"/>
      <c r="T89" s="874" t="s">
        <v>176</v>
      </c>
      <c r="U89" s="930"/>
      <c r="V89" s="931" t="s">
        <v>109</v>
      </c>
      <c r="W89" s="931"/>
      <c r="X89" s="931"/>
      <c r="Y89" s="931"/>
    </row>
    <row r="90" spans="1:26" ht="18.75" customHeight="1" x14ac:dyDescent="0.25">
      <c r="A90" s="233" t="s">
        <v>110</v>
      </c>
      <c r="B90" s="245">
        <f>I12+I13+I18+I21+I24</f>
        <v>0</v>
      </c>
      <c r="C90" s="245"/>
      <c r="D90" s="867">
        <f>I6</f>
        <v>1.0355000000000001</v>
      </c>
      <c r="E90" s="867"/>
      <c r="F90" s="867"/>
      <c r="G90" s="122">
        <f>'[1]Detail 2025-26 FEFP Second'!AB3</f>
        <v>958.42</v>
      </c>
      <c r="H90" s="47" t="s">
        <v>68</v>
      </c>
      <c r="I90" s="141">
        <f>ROUND(B90*D90*G90,2)</f>
        <v>0</v>
      </c>
      <c r="J90" s="81"/>
      <c r="K90" s="70"/>
      <c r="L90" s="70"/>
      <c r="M90" s="71"/>
      <c r="N90" s="70"/>
      <c r="O90" s="70"/>
      <c r="P90" s="70"/>
      <c r="Q90" s="70"/>
      <c r="R90" s="238" t="s">
        <v>110</v>
      </c>
      <c r="S90" s="251">
        <f>X12+X13+X18+X21+X24</f>
        <v>0</v>
      </c>
      <c r="T90" s="922">
        <f>X6</f>
        <v>1.0355000000000001</v>
      </c>
      <c r="U90" s="922"/>
      <c r="V90" s="122">
        <f>G90</f>
        <v>958.42</v>
      </c>
      <c r="W90" s="182" t="s">
        <v>68</v>
      </c>
      <c r="X90" s="272">
        <f>ROUND(S90*T90*V90,2)</f>
        <v>0</v>
      </c>
      <c r="Y90" s="205"/>
    </row>
    <row r="91" spans="1:26" ht="21" customHeight="1" x14ac:dyDescent="0.25">
      <c r="A91" s="82" t="s">
        <v>60</v>
      </c>
      <c r="B91" s="245">
        <f>I14+I15+I19+I22+I25</f>
        <v>0</v>
      </c>
      <c r="C91" s="245"/>
      <c r="D91" s="867">
        <f>I6</f>
        <v>1.0355000000000001</v>
      </c>
      <c r="E91" s="867"/>
      <c r="F91" s="867"/>
      <c r="G91" s="122">
        <f>'[1]Detail 2025-26 FEFP Second'!AC3</f>
        <v>915.09</v>
      </c>
      <c r="H91" s="47" t="s">
        <v>68</v>
      </c>
      <c r="I91" s="140">
        <f>ROUND(B91*D91*G91,2)</f>
        <v>0</v>
      </c>
      <c r="K91" s="70"/>
      <c r="L91" s="70"/>
      <c r="M91" s="71"/>
      <c r="N91" s="70"/>
      <c r="O91" s="70"/>
      <c r="P91" s="70"/>
      <c r="Q91" s="70"/>
      <c r="R91" s="206" t="s">
        <v>60</v>
      </c>
      <c r="S91" s="251">
        <f>X14+X15+X19+X22+X25</f>
        <v>0</v>
      </c>
      <c r="T91" s="922">
        <f>X6</f>
        <v>1.0355000000000001</v>
      </c>
      <c r="U91" s="922"/>
      <c r="V91" s="122">
        <f>G91</f>
        <v>915.09</v>
      </c>
      <c r="W91" s="182" t="s">
        <v>68</v>
      </c>
      <c r="X91" s="272">
        <f>ROUND(S91*T91*V91,2)</f>
        <v>0</v>
      </c>
      <c r="Y91" s="170"/>
    </row>
    <row r="92" spans="1:26" ht="19.5" customHeight="1" thickBot="1" x14ac:dyDescent="0.3">
      <c r="A92" s="83" t="s">
        <v>61</v>
      </c>
      <c r="B92" s="109">
        <f>I16+I17+I20+I23+I26+I27</f>
        <v>102.3305</v>
      </c>
      <c r="C92" s="109"/>
      <c r="D92" s="867">
        <f>I6</f>
        <v>1.0355000000000001</v>
      </c>
      <c r="E92" s="867"/>
      <c r="F92" s="867"/>
      <c r="G92" s="122">
        <f>'[1]Detail 2025-26 FEFP Second'!AD3</f>
        <v>917.3</v>
      </c>
      <c r="H92" s="47" t="s">
        <v>68</v>
      </c>
      <c r="I92" s="575">
        <f>ROUND(B92*D92*G92,2)</f>
        <v>97200.07</v>
      </c>
      <c r="K92" s="70"/>
      <c r="L92" s="70"/>
      <c r="M92" s="71"/>
      <c r="N92" s="70"/>
      <c r="O92" s="70"/>
      <c r="P92" s="70"/>
      <c r="Q92" s="70"/>
      <c r="R92" s="207" t="s">
        <v>61</v>
      </c>
      <c r="S92" s="208">
        <f>X16+X17+X20+X23+X26+X27</f>
        <v>0</v>
      </c>
      <c r="T92" s="922">
        <f>X6</f>
        <v>1.0355000000000001</v>
      </c>
      <c r="U92" s="922"/>
      <c r="V92" s="122">
        <f>G92</f>
        <v>917.3</v>
      </c>
      <c r="W92" s="182" t="s">
        <v>68</v>
      </c>
      <c r="X92" s="272">
        <f>ROUND(S92*T92*V92,2)</f>
        <v>0</v>
      </c>
      <c r="Y92" s="170"/>
    </row>
    <row r="93" spans="1:26" ht="18.75" customHeight="1" thickBot="1" x14ac:dyDescent="0.3">
      <c r="A93" s="247" t="s">
        <v>111</v>
      </c>
      <c r="B93" s="109">
        <f>SUM(B90:B92)</f>
        <v>102.3305</v>
      </c>
      <c r="C93" s="109"/>
      <c r="D93" s="109"/>
      <c r="E93" s="937" t="s">
        <v>112</v>
      </c>
      <c r="F93" s="937"/>
      <c r="G93" s="937"/>
      <c r="H93" s="937"/>
      <c r="I93" s="937"/>
      <c r="J93" s="127">
        <f>IF(A1=75,0,I92+I91+I90)</f>
        <v>97200.07</v>
      </c>
      <c r="K93" s="70"/>
      <c r="L93" s="70"/>
      <c r="M93" s="71"/>
      <c r="N93" s="70"/>
      <c r="O93" s="70"/>
      <c r="P93" s="70"/>
      <c r="Q93" s="70"/>
      <c r="R93" s="252" t="s">
        <v>111</v>
      </c>
      <c r="S93" s="210">
        <f>SUM(S90:S92)</f>
        <v>0</v>
      </c>
      <c r="T93" s="923" t="s">
        <v>112</v>
      </c>
      <c r="U93" s="924"/>
      <c r="V93" s="924"/>
      <c r="W93" s="924"/>
      <c r="X93" s="924"/>
      <c r="Y93" s="266">
        <f>IF(R1=75,0,X92+X91+X90)</f>
        <v>0</v>
      </c>
    </row>
    <row r="94" spans="1:26" ht="18" customHeight="1" x14ac:dyDescent="0.25">
      <c r="A94" s="938" t="s">
        <v>113</v>
      </c>
      <c r="B94" s="938"/>
      <c r="C94" s="938"/>
      <c r="D94" s="938"/>
      <c r="E94" s="938"/>
      <c r="F94" s="938"/>
      <c r="G94" s="938"/>
      <c r="H94" s="938"/>
      <c r="I94" s="938"/>
      <c r="J94" s="938"/>
      <c r="K94" s="70"/>
      <c r="L94" s="70"/>
      <c r="M94" s="71"/>
      <c r="N94" s="70"/>
      <c r="O94" s="70"/>
      <c r="P94" s="70"/>
      <c r="Q94" s="70"/>
      <c r="R94" s="925" t="s">
        <v>113</v>
      </c>
      <c r="S94" s="925"/>
      <c r="T94" s="925"/>
      <c r="U94" s="925"/>
      <c r="V94" s="925"/>
      <c r="W94" s="925"/>
      <c r="X94" s="925"/>
      <c r="Y94" s="925"/>
    </row>
    <row r="95" spans="1:26" ht="17.25" customHeight="1" x14ac:dyDescent="0.25">
      <c r="A95" s="896" t="s">
        <v>114</v>
      </c>
      <c r="B95" s="896"/>
      <c r="C95" s="896"/>
      <c r="D95" s="896"/>
      <c r="E95" s="896"/>
      <c r="F95" s="248" t="s">
        <v>115</v>
      </c>
      <c r="G95" s="939"/>
      <c r="H95" s="939"/>
      <c r="I95" s="939"/>
      <c r="J95" s="939"/>
      <c r="K95" s="70"/>
      <c r="L95" s="70"/>
      <c r="M95" s="71"/>
      <c r="N95" s="70"/>
      <c r="O95" s="70"/>
      <c r="P95" s="70"/>
      <c r="Q95" s="70"/>
      <c r="R95" s="860" t="s">
        <v>177</v>
      </c>
      <c r="S95" s="860"/>
      <c r="T95" s="860"/>
      <c r="U95" s="253"/>
      <c r="V95" s="926"/>
      <c r="W95" s="926"/>
      <c r="X95" s="926"/>
      <c r="Y95" s="926"/>
    </row>
    <row r="96" spans="1:26" ht="15" customHeight="1" x14ac:dyDescent="0.25">
      <c r="B96" s="235"/>
      <c r="C96" s="123" t="s">
        <v>159</v>
      </c>
      <c r="D96" s="123" t="s">
        <v>160</v>
      </c>
      <c r="E96" s="870" t="s">
        <v>161</v>
      </c>
      <c r="F96" s="870"/>
      <c r="G96" s="870"/>
      <c r="H96" s="248"/>
      <c r="I96" s="248"/>
      <c r="J96" s="248"/>
      <c r="K96" s="70"/>
      <c r="L96" s="70"/>
      <c r="M96" s="71"/>
      <c r="N96" s="70"/>
      <c r="O96" s="70"/>
      <c r="P96" s="70"/>
      <c r="Q96" s="70"/>
      <c r="R96" s="927" t="s">
        <v>116</v>
      </c>
      <c r="S96" s="927"/>
      <c r="T96" s="928">
        <f>IF(I111=1,E97,0)</f>
        <v>0</v>
      </c>
      <c r="U96" s="928"/>
      <c r="V96" s="928"/>
      <c r="W96" s="261" t="s">
        <v>117</v>
      </c>
      <c r="X96" s="212">
        <f>I97</f>
        <v>617</v>
      </c>
      <c r="Y96" s="266">
        <f>ROUND(X96*T96,2)</f>
        <v>0</v>
      </c>
    </row>
    <row r="97" spans="1:25" ht="17.25" customHeight="1" x14ac:dyDescent="0.25">
      <c r="A97" s="910" t="s">
        <v>116</v>
      </c>
      <c r="B97" s="910"/>
      <c r="C97" s="415">
        <v>0</v>
      </c>
      <c r="D97" s="415">
        <v>0</v>
      </c>
      <c r="E97" s="989">
        <f>(C97+D97)/2</f>
        <v>0</v>
      </c>
      <c r="F97" s="940"/>
      <c r="G97" s="940"/>
      <c r="H97" s="224" t="s">
        <v>117</v>
      </c>
      <c r="I97" s="130">
        <f>IF(A1&gt;67,0,INDEX('[1]Transportation Per Student'!F$1:F$65536,MATCH(A1,'[1]Transportation Per Student'!B$1:B$65536)))</f>
        <v>617</v>
      </c>
      <c r="J97" s="138">
        <f>ROUND(I97*E97,2)</f>
        <v>0</v>
      </c>
      <c r="K97" s="70"/>
      <c r="L97" s="70"/>
      <c r="M97" s="71"/>
      <c r="N97" s="70"/>
      <c r="O97" s="70"/>
      <c r="P97" s="70"/>
      <c r="Q97" s="70"/>
      <c r="R97" s="927" t="s">
        <v>118</v>
      </c>
      <c r="S97" s="927"/>
      <c r="T97" s="928">
        <f>IF(I112=1,E98,0)</f>
        <v>0</v>
      </c>
      <c r="U97" s="928"/>
      <c r="V97" s="928"/>
      <c r="W97" s="261" t="s">
        <v>117</v>
      </c>
      <c r="X97" s="212">
        <f>I98</f>
        <v>1870</v>
      </c>
      <c r="Y97" s="266">
        <f>ROUND(X97*T97,2)</f>
        <v>0</v>
      </c>
    </row>
    <row r="98" spans="1:25" ht="17.25" customHeight="1" x14ac:dyDescent="0.25">
      <c r="A98" s="910" t="s">
        <v>118</v>
      </c>
      <c r="B98" s="910"/>
      <c r="C98" s="279">
        <v>0</v>
      </c>
      <c r="D98" s="279">
        <v>0</v>
      </c>
      <c r="E98" s="989">
        <f>(C98+D98)/2</f>
        <v>0</v>
      </c>
      <c r="F98" s="940"/>
      <c r="G98" s="940"/>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66"/>
      <c r="H100" s="866"/>
      <c r="I100" s="866"/>
      <c r="J100" s="866"/>
      <c r="K100" s="70"/>
      <c r="L100" s="70"/>
      <c r="M100" s="71"/>
      <c r="N100" s="70"/>
      <c r="O100" s="70"/>
      <c r="P100" s="70"/>
      <c r="Q100" s="70"/>
      <c r="R100" s="860" t="s">
        <v>178</v>
      </c>
      <c r="S100" s="860"/>
      <c r="T100" s="860"/>
      <c r="U100" s="239"/>
      <c r="V100" s="874"/>
      <c r="W100" s="874"/>
      <c r="X100" s="874"/>
      <c r="Y100" s="874"/>
    </row>
    <row r="101" spans="1:25" ht="44.25" customHeight="1" x14ac:dyDescent="0.25">
      <c r="A101" s="947" t="s">
        <v>121</v>
      </c>
      <c r="B101" s="947"/>
      <c r="C101" s="249"/>
      <c r="D101" s="868" t="s">
        <v>122</v>
      </c>
      <c r="E101" s="868"/>
      <c r="F101" s="868"/>
      <c r="G101" s="948" t="s">
        <v>123</v>
      </c>
      <c r="H101" s="948"/>
      <c r="I101" s="250" t="s">
        <v>124</v>
      </c>
      <c r="J101" s="249" t="s">
        <v>125</v>
      </c>
      <c r="K101" s="70"/>
      <c r="L101" s="70"/>
      <c r="M101" s="70"/>
      <c r="N101" s="70"/>
      <c r="O101" s="70"/>
      <c r="P101" s="70"/>
      <c r="Q101" s="70"/>
      <c r="R101" s="934" t="s">
        <v>121</v>
      </c>
      <c r="S101" s="934"/>
      <c r="T101" s="935" t="s">
        <v>122</v>
      </c>
      <c r="U101" s="935"/>
      <c r="V101" s="936" t="s">
        <v>123</v>
      </c>
      <c r="W101" s="936"/>
      <c r="X101" s="246" t="s">
        <v>124</v>
      </c>
      <c r="Y101" s="242" t="s">
        <v>125</v>
      </c>
    </row>
    <row r="102" spans="1:25" ht="16.5" customHeight="1" x14ac:dyDescent="0.25">
      <c r="A102" s="859" t="s">
        <v>126</v>
      </c>
      <c r="B102" s="859"/>
      <c r="C102" s="230"/>
      <c r="D102" s="273"/>
      <c r="E102" s="273"/>
      <c r="F102" s="273"/>
      <c r="G102" s="919">
        <f>IF(E102=0,0,INDEX('[1]Detail 2025-26 FEFP Second'!V$1:V$65536,MATCH(A1,'[1]Detail 2025-26 FEFP Second'!A$1:A$65536)))</f>
        <v>0</v>
      </c>
      <c r="H102" s="919"/>
      <c r="I102" s="88">
        <f>IF(E102=0,0,'[1]Detail 2025-26 FEFP Second'!AL3)</f>
        <v>0</v>
      </c>
      <c r="J102" s="62">
        <f>ROUND((I102+G102)*E102,0)</f>
        <v>0</v>
      </c>
      <c r="L102" s="3"/>
      <c r="M102" s="2"/>
      <c r="Q102" s="4"/>
      <c r="R102" s="858" t="s">
        <v>126</v>
      </c>
      <c r="S102" s="858"/>
      <c r="T102" s="932">
        <v>0</v>
      </c>
      <c r="U102" s="932"/>
      <c r="V102" s="933">
        <f>IF(T102=0,0,INDEX('[1]Detail 2025-26 FEFP Second'!AM$1:AM$65536,MATCH(R1,'[1]Detail 2025-26 FEFP Second'!R$1:R$65536)))</f>
        <v>0</v>
      </c>
      <c r="W102" s="933"/>
      <c r="X102" s="214">
        <f>IF(T102=0,0,'[1]Detail 2025-26 FEFP Second'!BC3)</f>
        <v>0</v>
      </c>
      <c r="Y102" s="157">
        <f>ROUND((X102+V102)*T102,0)</f>
        <v>0</v>
      </c>
    </row>
    <row r="103" spans="1:25" ht="15.75" customHeight="1" x14ac:dyDescent="0.25">
      <c r="A103" s="859" t="s">
        <v>127</v>
      </c>
      <c r="B103" s="859"/>
      <c r="C103" s="230"/>
      <c r="D103" s="273"/>
      <c r="E103" s="273"/>
      <c r="F103" s="273"/>
      <c r="G103" s="920">
        <f>ROUND(G102/2,2)</f>
        <v>0</v>
      </c>
      <c r="H103" s="920"/>
      <c r="I103" s="88">
        <f>IF(E103=0,0,ROUND('[1]Detail 2025-26 FEFP Second'!AL3/2,2))</f>
        <v>0</v>
      </c>
      <c r="J103" s="62">
        <f>ROUND((I103+G103)*E103,0)</f>
        <v>0</v>
      </c>
      <c r="R103" s="858" t="s">
        <v>127</v>
      </c>
      <c r="S103" s="858"/>
      <c r="T103" s="932">
        <v>0</v>
      </c>
      <c r="U103" s="932"/>
      <c r="V103" s="949">
        <f>ROUND(V102/2,2)</f>
        <v>0</v>
      </c>
      <c r="W103" s="949"/>
      <c r="X103" s="214">
        <f>IF(T103=0,0,ROUND('[1]Detail 2025-26 FEFP Second'!BC3/2,2))</f>
        <v>0</v>
      </c>
      <c r="Y103" s="157">
        <f>ROUND((X103+V103)*T103,0)</f>
        <v>0</v>
      </c>
    </row>
    <row r="104" spans="1:25" ht="15.75" customHeight="1" thickBot="1" x14ac:dyDescent="0.3">
      <c r="A104" s="864" t="s">
        <v>128</v>
      </c>
      <c r="B104" s="864"/>
      <c r="C104" s="231"/>
      <c r="D104" s="278"/>
      <c r="E104" s="278"/>
      <c r="F104" s="278"/>
      <c r="G104" s="913"/>
      <c r="H104" s="913"/>
      <c r="I104" s="89">
        <f>IF(I102&gt;0,'[1]Detail 2025-26 FEFP Second'!AM3,0)</f>
        <v>0</v>
      </c>
      <c r="J104" s="30">
        <f>ROUND(I104*E104,0)</f>
        <v>0</v>
      </c>
      <c r="R104" s="863" t="s">
        <v>128</v>
      </c>
      <c r="S104" s="863"/>
      <c r="T104" s="932">
        <v>0</v>
      </c>
      <c r="U104" s="932"/>
      <c r="V104" s="934"/>
      <c r="W104" s="934"/>
      <c r="X104" s="215">
        <f>IF(X102&gt;0,'[1]Detail 2025-26 FEFP Second'!BD3,0)</f>
        <v>0</v>
      </c>
      <c r="Y104" s="163">
        <f>ROUND(X104*T104,0)</f>
        <v>0</v>
      </c>
    </row>
    <row r="105" spans="1:25" ht="24.75" customHeight="1" thickBot="1" x14ac:dyDescent="0.3">
      <c r="A105" s="866" t="s">
        <v>125</v>
      </c>
      <c r="B105" s="866"/>
      <c r="C105" s="223"/>
      <c r="D105" s="223"/>
      <c r="E105" s="90"/>
      <c r="F105" s="90"/>
      <c r="G105" s="90"/>
      <c r="H105" s="90"/>
      <c r="I105" s="90"/>
      <c r="J105" s="91">
        <f>SUM(J102:J104)</f>
        <v>0</v>
      </c>
      <c r="R105" s="874" t="s">
        <v>125</v>
      </c>
      <c r="S105" s="874"/>
      <c r="T105" s="216"/>
      <c r="U105" s="216"/>
      <c r="V105" s="216"/>
      <c r="W105" s="216"/>
      <c r="X105" s="216"/>
      <c r="Y105" s="217">
        <f>SUM(Y102:Y104)</f>
        <v>0</v>
      </c>
    </row>
    <row r="106" spans="1:25" ht="26.25" customHeight="1" x14ac:dyDescent="0.25">
      <c r="A106" s="896" t="s">
        <v>129</v>
      </c>
      <c r="B106" s="896"/>
      <c r="C106" s="896"/>
      <c r="D106" s="896"/>
      <c r="E106" s="896"/>
      <c r="F106" s="258" t="s">
        <v>130</v>
      </c>
      <c r="G106" s="914"/>
      <c r="H106" s="914"/>
      <c r="I106" s="914"/>
      <c r="J106" s="93"/>
      <c r="K106" s="94"/>
      <c r="L106" s="94"/>
      <c r="M106" s="94"/>
      <c r="N106" s="94"/>
      <c r="O106" s="94"/>
      <c r="P106" s="94"/>
      <c r="Q106" s="94"/>
      <c r="R106" s="860" t="s">
        <v>179</v>
      </c>
      <c r="S106" s="860"/>
      <c r="T106" s="860"/>
      <c r="U106" s="241"/>
      <c r="V106" s="942"/>
      <c r="W106" s="942"/>
      <c r="X106" s="942"/>
      <c r="Y106" s="157">
        <v>0</v>
      </c>
    </row>
    <row r="107" spans="1:25" ht="30" customHeight="1" thickBot="1" x14ac:dyDescent="0.3">
      <c r="A107" s="999" t="s">
        <v>125</v>
      </c>
      <c r="B107" s="999"/>
      <c r="C107" s="999"/>
      <c r="D107" s="999"/>
      <c r="E107" s="999"/>
      <c r="F107" s="999"/>
      <c r="G107" s="999"/>
      <c r="H107" s="999"/>
      <c r="I107" s="999"/>
      <c r="J107" s="580">
        <f>SUM(J106,J105,J98,J97,J93,J86,J85,J71,J70,J68,J33,J72,J50,J87,J84)</f>
        <v>851901.42</v>
      </c>
      <c r="L107" s="576"/>
      <c r="R107" s="860" t="s">
        <v>125</v>
      </c>
      <c r="S107" s="860"/>
      <c r="T107" s="860"/>
      <c r="U107" s="860"/>
      <c r="V107" s="860"/>
      <c r="W107" s="860"/>
      <c r="X107" s="860"/>
      <c r="Y107" s="219">
        <f>SUM(Y106,Y105,Y97,Y96,Y93,Y86,Y85,Y84,Y70,Y69,Y67,Y33,Y71,Y50,Y87,Y83)</f>
        <v>120160.88</v>
      </c>
    </row>
    <row r="108" spans="1:25" ht="15.75" customHeight="1" thickTop="1" x14ac:dyDescent="0.25">
      <c r="A108" s="997"/>
      <c r="B108" s="997"/>
      <c r="C108" s="997"/>
      <c r="D108" s="997"/>
      <c r="E108" s="997"/>
      <c r="F108" s="997"/>
      <c r="G108" s="997"/>
      <c r="H108" s="997"/>
      <c r="I108" s="997"/>
      <c r="J108" s="997"/>
      <c r="R108" s="874"/>
      <c r="S108" s="874"/>
      <c r="T108" s="874"/>
      <c r="U108" s="874"/>
      <c r="V108" s="874"/>
      <c r="W108" s="874"/>
      <c r="X108" s="874"/>
      <c r="Y108" s="874"/>
    </row>
    <row r="109" spans="1:25" ht="17.25" customHeight="1" thickBot="1" x14ac:dyDescent="0.3">
      <c r="A109" s="998" t="s">
        <v>131</v>
      </c>
      <c r="B109" s="998"/>
      <c r="C109" s="998"/>
      <c r="D109" s="998"/>
      <c r="E109" s="998"/>
      <c r="F109" s="997"/>
      <c r="G109" s="997"/>
      <c r="H109" s="997"/>
      <c r="I109" s="581" t="s">
        <v>132</v>
      </c>
      <c r="J109" s="582">
        <f>J107-J38</f>
        <v>810778.13</v>
      </c>
      <c r="R109" s="170" t="s">
        <v>180</v>
      </c>
      <c r="S109" s="170"/>
      <c r="T109" s="170"/>
      <c r="U109" s="170"/>
      <c r="V109" s="170"/>
      <c r="W109" s="170"/>
      <c r="X109" s="170"/>
      <c r="Y109" s="220">
        <f>Y107-Y38</f>
        <v>120160.88</v>
      </c>
    </row>
    <row r="110" spans="1:25" ht="18.75" customHeight="1" thickTop="1" x14ac:dyDescent="0.25">
      <c r="A110" s="998" t="s">
        <v>133</v>
      </c>
      <c r="B110" s="998"/>
      <c r="C110" s="998"/>
      <c r="D110" s="998"/>
      <c r="E110" s="998"/>
      <c r="F110" s="998"/>
      <c r="G110" s="998"/>
      <c r="H110" s="998"/>
      <c r="I110" s="583" t="s">
        <v>134</v>
      </c>
      <c r="J110" s="581"/>
      <c r="R110" s="951" t="s">
        <v>136</v>
      </c>
      <c r="S110" s="951"/>
      <c r="T110" s="951"/>
      <c r="U110" s="951"/>
      <c r="V110" s="951"/>
      <c r="W110" s="951"/>
      <c r="X110" s="951"/>
      <c r="Y110" s="951"/>
    </row>
    <row r="111" spans="1:25" ht="15.75" customHeight="1" x14ac:dyDescent="0.25">
      <c r="A111" s="1000" t="s">
        <v>135</v>
      </c>
      <c r="B111" s="1000"/>
      <c r="C111" s="1000"/>
      <c r="D111" s="1000"/>
      <c r="E111" s="1000"/>
      <c r="F111" s="1000"/>
      <c r="G111" s="1000"/>
      <c r="H111" s="1000"/>
      <c r="I111" s="586">
        <v>0</v>
      </c>
      <c r="J111" s="137">
        <f>Y109</f>
        <v>120160.88</v>
      </c>
      <c r="R111" s="950" t="s">
        <v>181</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182</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810778.13</v>
      </c>
      <c r="J114" s="296">
        <f>ROUND(IF(E28=0,0,IF(E28&gt;250,-(((250/E28)*I114)*IF(H113="H",0.02,0.05)),IF(H113="H",-0.02*I114,-0.05*I114))),2)</f>
        <v>-40538.910000000003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811362.51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Payments'!R122</f>
        <v>-404567.03999999998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406795.47000000003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6</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67799.25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892" t="s">
        <v>137</v>
      </c>
      <c r="B129" s="892"/>
      <c r="C129" s="892"/>
      <c r="D129" s="892"/>
      <c r="E129" s="892"/>
      <c r="F129" s="892"/>
      <c r="G129" s="892"/>
      <c r="H129" s="892"/>
      <c r="I129" s="892"/>
      <c r="J129" s="892"/>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892" t="s">
        <v>143</v>
      </c>
      <c r="B135" s="892"/>
      <c r="C135" s="892"/>
      <c r="D135" s="892"/>
      <c r="E135" s="892"/>
      <c r="F135" s="892"/>
      <c r="G135" s="892"/>
      <c r="H135" s="892"/>
      <c r="I135" s="892"/>
      <c r="J135" s="892"/>
    </row>
    <row r="136" spans="1:25" ht="31.5" customHeight="1" x14ac:dyDescent="0.25">
      <c r="A136" s="892" t="s">
        <v>144</v>
      </c>
      <c r="B136" s="892"/>
      <c r="C136" s="892"/>
      <c r="D136" s="892"/>
      <c r="E136" s="892"/>
      <c r="F136" s="892"/>
      <c r="G136" s="892"/>
      <c r="H136" s="892"/>
      <c r="I136" s="892"/>
      <c r="J136" s="892"/>
    </row>
    <row r="137" spans="1:25" x14ac:dyDescent="0.25">
      <c r="A137" s="892" t="s">
        <v>145</v>
      </c>
      <c r="B137" s="892"/>
      <c r="C137" s="892"/>
      <c r="D137" s="892"/>
      <c r="E137" s="892"/>
      <c r="F137" s="892"/>
      <c r="G137" s="892"/>
      <c r="H137" s="892"/>
      <c r="I137" s="892"/>
      <c r="J137" s="892"/>
    </row>
    <row r="138" spans="1:25" x14ac:dyDescent="0.25">
      <c r="A138" s="259" t="s">
        <v>146</v>
      </c>
      <c r="B138" s="259"/>
      <c r="C138" s="259"/>
      <c r="D138" s="259"/>
      <c r="E138" s="259"/>
      <c r="F138" s="259"/>
      <c r="G138" s="259"/>
      <c r="H138" s="259"/>
      <c r="I138" s="259"/>
      <c r="J138" s="259"/>
    </row>
    <row r="139" spans="1:25" ht="30.75" customHeight="1" x14ac:dyDescent="0.25">
      <c r="A139" s="892" t="s">
        <v>147</v>
      </c>
      <c r="B139" s="892"/>
      <c r="C139" s="892"/>
      <c r="D139" s="892"/>
      <c r="E139" s="892"/>
      <c r="F139" s="892"/>
      <c r="G139" s="892"/>
      <c r="H139" s="892"/>
      <c r="I139" s="892"/>
      <c r="J139" s="892"/>
    </row>
    <row r="140" spans="1:25" ht="30.75" customHeight="1" x14ac:dyDescent="0.25">
      <c r="A140" s="892" t="s">
        <v>148</v>
      </c>
      <c r="B140" s="892"/>
      <c r="C140" s="892"/>
      <c r="D140" s="892"/>
      <c r="E140" s="892"/>
      <c r="F140" s="892"/>
      <c r="G140" s="892"/>
      <c r="H140" s="892"/>
      <c r="I140" s="892"/>
      <c r="J140" s="892"/>
    </row>
    <row r="141" spans="1:25" x14ac:dyDescent="0.25">
      <c r="A141" s="891" t="s">
        <v>149</v>
      </c>
      <c r="B141" s="892"/>
      <c r="C141" s="892"/>
      <c r="D141" s="892"/>
      <c r="E141" s="892"/>
      <c r="F141" s="892"/>
      <c r="G141" s="892"/>
      <c r="H141" s="892"/>
      <c r="I141" s="892"/>
      <c r="J141" s="892"/>
    </row>
    <row r="142" spans="1:25" ht="60.75" customHeight="1" x14ac:dyDescent="0.25">
      <c r="A142" s="893" t="s">
        <v>150</v>
      </c>
      <c r="B142" s="893"/>
      <c r="C142" s="893"/>
      <c r="D142" s="893"/>
      <c r="E142" s="893"/>
      <c r="F142" s="893"/>
      <c r="G142" s="893"/>
      <c r="H142" s="893"/>
      <c r="I142" s="893"/>
      <c r="J142" s="893"/>
    </row>
    <row r="143" spans="1:25" ht="48" customHeight="1" x14ac:dyDescent="0.25">
      <c r="A143" s="893" t="s">
        <v>151</v>
      </c>
      <c r="B143" s="893"/>
      <c r="C143" s="893"/>
      <c r="D143" s="893"/>
      <c r="E143" s="893"/>
      <c r="F143" s="893"/>
      <c r="G143" s="893"/>
      <c r="H143" s="893"/>
      <c r="I143" s="893"/>
      <c r="J143" s="893"/>
    </row>
    <row r="144" spans="1:25" x14ac:dyDescent="0.25">
      <c r="A144" s="891" t="s">
        <v>152</v>
      </c>
      <c r="B144" s="891"/>
      <c r="C144" s="891"/>
      <c r="D144" s="891"/>
      <c r="E144" s="891"/>
      <c r="F144" s="891"/>
      <c r="G144" s="891"/>
      <c r="H144" s="891"/>
      <c r="I144" s="891"/>
      <c r="J144" s="891"/>
    </row>
    <row r="145" spans="1:10" ht="32.25" customHeight="1" x14ac:dyDescent="0.25">
      <c r="A145" s="893" t="s">
        <v>153</v>
      </c>
      <c r="B145" s="893"/>
      <c r="C145" s="893"/>
      <c r="D145" s="893"/>
      <c r="E145" s="893"/>
      <c r="F145" s="893"/>
      <c r="G145" s="893"/>
      <c r="H145" s="893"/>
      <c r="I145" s="893"/>
      <c r="J145" s="893"/>
    </row>
    <row r="146" spans="1:10" ht="23.25" customHeight="1" x14ac:dyDescent="0.25">
      <c r="A146" s="869" t="s">
        <v>154</v>
      </c>
      <c r="B146" s="869"/>
      <c r="C146" s="869"/>
      <c r="D146" s="869"/>
      <c r="E146" s="869"/>
      <c r="F146" s="869"/>
      <c r="G146" s="869"/>
      <c r="H146" s="869"/>
      <c r="I146" s="869"/>
      <c r="J146" s="869"/>
    </row>
    <row r="147" spans="1:10" x14ac:dyDescent="0.25">
      <c r="A147" s="869"/>
      <c r="B147" s="869"/>
      <c r="C147" s="869"/>
      <c r="D147" s="869"/>
      <c r="E147" s="869"/>
      <c r="F147" s="869"/>
      <c r="G147" s="869"/>
      <c r="H147" s="869"/>
      <c r="I147" s="869"/>
      <c r="J147" s="86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2094</vt:i4>
      </vt:variant>
    </vt:vector>
  </HeadingPairs>
  <TitlesOfParts>
    <vt:vector size="2150" baseType="lpstr">
      <vt:lpstr>Net Payment</vt:lpstr>
      <vt:lpstr>Annual Rev &amp; Fees</vt:lpstr>
      <vt:lpstr>Charter Schools</vt:lpstr>
      <vt:lpstr>Cumulative Payments</vt:lpstr>
      <vt:lpstr>Consolidated</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cp:lastPrinted>2025-10-27T14:56:48Z</cp:lastPrinted>
  <dcterms:created xsi:type="dcterms:W3CDTF">2015-06-05T18:17:20Z</dcterms:created>
  <dcterms:modified xsi:type="dcterms:W3CDTF">2026-02-19T16:03:08Z</dcterms:modified>
</cp:coreProperties>
</file>