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W:\Charter Schools\!!FEFP\FY 26 - FEFP Funding\!Payments 2025-26\2025-09\"/>
    </mc:Choice>
  </mc:AlternateContent>
  <xr:revisionPtr revIDLastSave="0" documentId="13_ncr:1_{EFC0F323-356F-4456-869C-B6C288410877}" xr6:coauthVersionLast="47" xr6:coauthVersionMax="47" xr10:uidLastSave="{00000000-0000-0000-0000-000000000000}"/>
  <bookViews>
    <workbookView xWindow="20370" yWindow="-120" windowWidth="29040" windowHeight="15840" activeTab="1" xr2:uid="{E8D3B170-7B74-4486-9FD4-4E60D7DE0F1F}"/>
  </bookViews>
  <sheets>
    <sheet name="Net Payment" sheetId="106" r:id="rId1"/>
    <sheet name="Annual Rev &amp; Fees" sheetId="54" r:id="rId2"/>
    <sheet name="Charter Schools" sheetId="55" r:id="rId3"/>
    <sheet name="Consolidated" sheetId="56" r:id="rId4"/>
    <sheet name="Cumulative Payments" sheetId="57" state="hidden" r:id="rId5"/>
    <sheet name="0040" sheetId="2" r:id="rId6"/>
    <sheet name="0100" sheetId="58" r:id="rId7"/>
    <sheet name="1461" sheetId="59" r:id="rId8"/>
    <sheet name="1571" sheetId="60" r:id="rId9"/>
    <sheet name="2521" sheetId="61" r:id="rId10"/>
    <sheet name="2531" sheetId="62" r:id="rId11"/>
    <sheet name="2791" sheetId="63" r:id="rId12"/>
    <sheet name="2801" sheetId="64" r:id="rId13"/>
    <sheet name="2911" sheetId="65" r:id="rId14"/>
    <sheet name="2941" sheetId="66" r:id="rId15"/>
    <sheet name="3083" sheetId="67" r:id="rId16"/>
    <sheet name="3345" sheetId="68" r:id="rId17"/>
    <sheet name="3381" sheetId="69" r:id="rId18"/>
    <sheet name="3382" sheetId="70" r:id="rId19"/>
    <sheet name="3391" sheetId="71" r:id="rId20"/>
    <sheet name="3394" sheetId="72" r:id="rId21"/>
    <sheet name="3395" sheetId="73" r:id="rId22"/>
    <sheet name="3396" sheetId="74" r:id="rId23"/>
    <sheet name="3398" sheetId="75" r:id="rId24"/>
    <sheet name="3400" sheetId="76" r:id="rId25"/>
    <sheet name="3401" sheetId="77" r:id="rId26"/>
    <sheet name="3413" sheetId="78" r:id="rId27"/>
    <sheet name="3421" sheetId="79" r:id="rId28"/>
    <sheet name="3431" sheetId="80" r:id="rId29"/>
    <sheet name="3441" sheetId="81" r:id="rId30"/>
    <sheet name="3924" sheetId="82" r:id="rId31"/>
    <sheet name="3941" sheetId="83" r:id="rId32"/>
    <sheet name="3961" sheetId="84" r:id="rId33"/>
    <sheet name="3971" sheetId="85" r:id="rId34"/>
    <sheet name="4001" sheetId="86" r:id="rId35"/>
    <sheet name="4002" sheetId="87" r:id="rId36"/>
    <sheet name="4012" sheetId="88" r:id="rId37"/>
    <sheet name="4013" sheetId="89" r:id="rId38"/>
    <sheet name="4020" sheetId="90" r:id="rId39"/>
    <sheet name="4030" sheetId="91" r:id="rId40"/>
    <sheet name="4031" sheetId="92" r:id="rId41"/>
    <sheet name="4041" sheetId="93" r:id="rId42"/>
    <sheet name="4050" sheetId="94" r:id="rId43"/>
    <sheet name="4051" sheetId="95" r:id="rId44"/>
    <sheet name="4061" sheetId="96" r:id="rId45"/>
    <sheet name="4080" sheetId="97" r:id="rId46"/>
    <sheet name="4081" sheetId="98" r:id="rId47"/>
    <sheet name="4090" sheetId="99" r:id="rId48"/>
    <sheet name="4091" sheetId="100" r:id="rId49"/>
    <sheet name="4100" sheetId="101" r:id="rId50"/>
    <sheet name="4102" sheetId="102" r:id="rId51"/>
    <sheet name="4103" sheetId="103" r:id="rId52"/>
    <sheet name="4111" sheetId="104" r:id="rId53"/>
    <sheet name="4131" sheetId="105" r:id="rId54"/>
  </sheets>
  <externalReferences>
    <externalReference r:id="rId55"/>
    <externalReference r:id="rId56"/>
  </externalReferences>
  <definedNames>
    <definedName name="_1" localSheetId="6">'0100'!$A$11</definedName>
    <definedName name="_1" localSheetId="7">'1461'!$A$11</definedName>
    <definedName name="_1" localSheetId="8">'1571'!$A$11</definedName>
    <definedName name="_1" localSheetId="9">'2521'!$A$11</definedName>
    <definedName name="_1" localSheetId="10">'2531'!$A$11</definedName>
    <definedName name="_1" localSheetId="11">'2791'!$A$11</definedName>
    <definedName name="_1" localSheetId="12">'2801'!$A$11</definedName>
    <definedName name="_1" localSheetId="13">'2911'!$A$11</definedName>
    <definedName name="_1" localSheetId="14">'2941'!$A$11</definedName>
    <definedName name="_1" localSheetId="15">'3083'!$A$11</definedName>
    <definedName name="_1" localSheetId="16">'3345'!$A$11</definedName>
    <definedName name="_1" localSheetId="17">'3381'!$A$11</definedName>
    <definedName name="_1" localSheetId="18">'3382'!$A$11</definedName>
    <definedName name="_1" localSheetId="19">'3391'!$A$11</definedName>
    <definedName name="_1" localSheetId="20">'3394'!$A$11</definedName>
    <definedName name="_1" localSheetId="21">'3395'!$A$11</definedName>
    <definedName name="_1" localSheetId="22">'3396'!$A$11</definedName>
    <definedName name="_1" localSheetId="23">'3398'!$A$11</definedName>
    <definedName name="_1" localSheetId="24">'3400'!$A$11</definedName>
    <definedName name="_1" localSheetId="25">'3401'!$A$11</definedName>
    <definedName name="_1" localSheetId="26">'3413'!$A$11</definedName>
    <definedName name="_1" localSheetId="27">'3421'!$A$11</definedName>
    <definedName name="_1" localSheetId="28">'3431'!$A$11</definedName>
    <definedName name="_1" localSheetId="29">'3441'!$A$11</definedName>
    <definedName name="_1" localSheetId="30">'3924'!$A$11</definedName>
    <definedName name="_1" localSheetId="31">'3941'!$A$11</definedName>
    <definedName name="_1" localSheetId="32">'3961'!$A$11</definedName>
    <definedName name="_1" localSheetId="33">'3971'!$A$11</definedName>
    <definedName name="_1" localSheetId="34">'4001'!$A$11</definedName>
    <definedName name="_1" localSheetId="35">'4002'!$A$11</definedName>
    <definedName name="_1" localSheetId="36">'4012'!$A$11</definedName>
    <definedName name="_1" localSheetId="37">'4013'!$A$11</definedName>
    <definedName name="_1" localSheetId="38">'4020'!$A$11</definedName>
    <definedName name="_1" localSheetId="39">'4030'!$A$11</definedName>
    <definedName name="_1" localSheetId="40">'4031'!$A$11</definedName>
    <definedName name="_1" localSheetId="41">'4041'!$A$11</definedName>
    <definedName name="_1" localSheetId="42">'4050'!$A$11</definedName>
    <definedName name="_1" localSheetId="43">'4051'!$A$11</definedName>
    <definedName name="_1" localSheetId="44">'4061'!$A$11</definedName>
    <definedName name="_1" localSheetId="45">'4080'!$A$11</definedName>
    <definedName name="_1" localSheetId="46">'4081'!$A$11</definedName>
    <definedName name="_1" localSheetId="47">'4090'!$A$11</definedName>
    <definedName name="_1" localSheetId="48">'4091'!$A$11</definedName>
    <definedName name="_1" localSheetId="49">'4100'!$A$11</definedName>
    <definedName name="_1" localSheetId="50">'4102'!$A$11</definedName>
    <definedName name="_1" localSheetId="51">'4103'!$A$11</definedName>
    <definedName name="_1" localSheetId="52">'4111'!$A$11</definedName>
    <definedName name="_1" localSheetId="53">'4131'!$A$11</definedName>
    <definedName name="_1">'0040'!$A$11</definedName>
    <definedName name="_1.__2009_10_FEFP_State_and_Local_Funding" localSheetId="6">'0100'!$A$5</definedName>
    <definedName name="_1.__2009_10_FEFP_State_and_Local_Funding" localSheetId="7">'1461'!$A$5</definedName>
    <definedName name="_1.__2009_10_FEFP_State_and_Local_Funding" localSheetId="8">'1571'!$A$5</definedName>
    <definedName name="_1.__2009_10_FEFP_State_and_Local_Funding" localSheetId="9">'2521'!$A$5</definedName>
    <definedName name="_1.__2009_10_FEFP_State_and_Local_Funding" localSheetId="10">'2531'!$A$5</definedName>
    <definedName name="_1.__2009_10_FEFP_State_and_Local_Funding" localSheetId="11">'2791'!$A$5</definedName>
    <definedName name="_1.__2009_10_FEFP_State_and_Local_Funding" localSheetId="12">'2801'!$A$5</definedName>
    <definedName name="_1.__2009_10_FEFP_State_and_Local_Funding" localSheetId="13">'2911'!$A$5</definedName>
    <definedName name="_1.__2009_10_FEFP_State_and_Local_Funding" localSheetId="14">'2941'!$A$5</definedName>
    <definedName name="_1.__2009_10_FEFP_State_and_Local_Funding" localSheetId="15">'3083'!$A$5</definedName>
    <definedName name="_1.__2009_10_FEFP_State_and_Local_Funding" localSheetId="16">'3345'!$A$5</definedName>
    <definedName name="_1.__2009_10_FEFP_State_and_Local_Funding" localSheetId="17">'3381'!$A$5</definedName>
    <definedName name="_1.__2009_10_FEFP_State_and_Local_Funding" localSheetId="18">'3382'!$A$5</definedName>
    <definedName name="_1.__2009_10_FEFP_State_and_Local_Funding" localSheetId="19">'3391'!$A$5</definedName>
    <definedName name="_1.__2009_10_FEFP_State_and_Local_Funding" localSheetId="20">'3394'!$A$5</definedName>
    <definedName name="_1.__2009_10_FEFP_State_and_Local_Funding" localSheetId="21">'3395'!$A$5</definedName>
    <definedName name="_1.__2009_10_FEFP_State_and_Local_Funding" localSheetId="22">'3396'!$A$5</definedName>
    <definedName name="_1.__2009_10_FEFP_State_and_Local_Funding" localSheetId="23">'3398'!$A$5</definedName>
    <definedName name="_1.__2009_10_FEFP_State_and_Local_Funding" localSheetId="24">'3400'!$A$5</definedName>
    <definedName name="_1.__2009_10_FEFP_State_and_Local_Funding" localSheetId="25">'3401'!$A$5</definedName>
    <definedName name="_1.__2009_10_FEFP_State_and_Local_Funding" localSheetId="26">'3413'!$A$5</definedName>
    <definedName name="_1.__2009_10_FEFP_State_and_Local_Funding" localSheetId="27">'3421'!$A$5</definedName>
    <definedName name="_1.__2009_10_FEFP_State_and_Local_Funding" localSheetId="28">'3431'!$A$5</definedName>
    <definedName name="_1.__2009_10_FEFP_State_and_Local_Funding" localSheetId="29">'3441'!$A$5</definedName>
    <definedName name="_1.__2009_10_FEFP_State_and_Local_Funding" localSheetId="30">'3924'!$A$5</definedName>
    <definedName name="_1.__2009_10_FEFP_State_and_Local_Funding" localSheetId="31">'3941'!$A$5</definedName>
    <definedName name="_1.__2009_10_FEFP_State_and_Local_Funding" localSheetId="32">'3961'!$A$5</definedName>
    <definedName name="_1.__2009_10_FEFP_State_and_Local_Funding" localSheetId="33">'3971'!$A$5</definedName>
    <definedName name="_1.__2009_10_FEFP_State_and_Local_Funding" localSheetId="34">'4001'!$A$5</definedName>
    <definedName name="_1.__2009_10_FEFP_State_and_Local_Funding" localSheetId="35">'4002'!$A$5</definedName>
    <definedName name="_1.__2009_10_FEFP_State_and_Local_Funding" localSheetId="36">'4012'!$A$5</definedName>
    <definedName name="_1.__2009_10_FEFP_State_and_Local_Funding" localSheetId="37">'4013'!$A$5</definedName>
    <definedName name="_1.__2009_10_FEFP_State_and_Local_Funding" localSheetId="38">'4020'!$A$5</definedName>
    <definedName name="_1.__2009_10_FEFP_State_and_Local_Funding" localSheetId="39">'4030'!$A$5</definedName>
    <definedName name="_1.__2009_10_FEFP_State_and_Local_Funding" localSheetId="40">'4031'!$A$5</definedName>
    <definedName name="_1.__2009_10_FEFP_State_and_Local_Funding" localSheetId="41">'4041'!$A$5</definedName>
    <definedName name="_1.__2009_10_FEFP_State_and_Local_Funding" localSheetId="42">'4050'!$A$5</definedName>
    <definedName name="_1.__2009_10_FEFP_State_and_Local_Funding" localSheetId="43">'4051'!$A$5</definedName>
    <definedName name="_1.__2009_10_FEFP_State_and_Local_Funding" localSheetId="44">'4061'!$A$5</definedName>
    <definedName name="_1.__2009_10_FEFP_State_and_Local_Funding" localSheetId="45">'4080'!$A$5</definedName>
    <definedName name="_1.__2009_10_FEFP_State_and_Local_Funding" localSheetId="46">'4081'!$A$5</definedName>
    <definedName name="_1.__2009_10_FEFP_State_and_Local_Funding" localSheetId="47">'4090'!$A$5</definedName>
    <definedName name="_1.__2009_10_FEFP_State_and_Local_Funding" localSheetId="48">'4091'!$A$5</definedName>
    <definedName name="_1.__2009_10_FEFP_State_and_Local_Funding" localSheetId="49">'4100'!$A$5</definedName>
    <definedName name="_1.__2009_10_FEFP_State_and_Local_Funding" localSheetId="50">'4102'!$A$5</definedName>
    <definedName name="_1.__2009_10_FEFP_State_and_Local_Funding" localSheetId="51">'4103'!$A$5</definedName>
    <definedName name="_1.__2009_10_FEFP_State_and_Local_Funding" localSheetId="52">'4111'!$A$5</definedName>
    <definedName name="_1.__2009_10_FEFP_State_and_Local_Funding" localSheetId="53">'4131'!$A$5</definedName>
    <definedName name="_1.__2009_10_FEFP_State_and_Local_Funding">'0040'!$A$5</definedName>
    <definedName name="_1.__2010_11_FEFP_State_and_Local_Funding" localSheetId="6">'0100'!$A$5</definedName>
    <definedName name="_1.__2010_11_FEFP_State_and_Local_Funding" localSheetId="7">'1461'!$A$5</definedName>
    <definedName name="_1.__2010_11_FEFP_State_and_Local_Funding" localSheetId="8">'1571'!$A$5</definedName>
    <definedName name="_1.__2010_11_FEFP_State_and_Local_Funding" localSheetId="9">'2521'!$A$5</definedName>
    <definedName name="_1.__2010_11_FEFP_State_and_Local_Funding" localSheetId="10">'2531'!$A$5</definedName>
    <definedName name="_1.__2010_11_FEFP_State_and_Local_Funding" localSheetId="11">'2791'!$A$5</definedName>
    <definedName name="_1.__2010_11_FEFP_State_and_Local_Funding" localSheetId="12">'2801'!$A$5</definedName>
    <definedName name="_1.__2010_11_FEFP_State_and_Local_Funding" localSheetId="13">'2911'!$A$5</definedName>
    <definedName name="_1.__2010_11_FEFP_State_and_Local_Funding" localSheetId="14">'2941'!$A$5</definedName>
    <definedName name="_1.__2010_11_FEFP_State_and_Local_Funding" localSheetId="15">'3083'!$A$5</definedName>
    <definedName name="_1.__2010_11_FEFP_State_and_Local_Funding" localSheetId="16">'3345'!$A$5</definedName>
    <definedName name="_1.__2010_11_FEFP_State_and_Local_Funding" localSheetId="17">'3381'!$A$5</definedName>
    <definedName name="_1.__2010_11_FEFP_State_and_Local_Funding" localSheetId="18">'3382'!$A$5</definedName>
    <definedName name="_1.__2010_11_FEFP_State_and_Local_Funding" localSheetId="19">'3391'!$A$5</definedName>
    <definedName name="_1.__2010_11_FEFP_State_and_Local_Funding" localSheetId="20">'3394'!$A$5</definedName>
    <definedName name="_1.__2010_11_FEFP_State_and_Local_Funding" localSheetId="21">'3395'!$A$5</definedName>
    <definedName name="_1.__2010_11_FEFP_State_and_Local_Funding" localSheetId="22">'3396'!$A$5</definedName>
    <definedName name="_1.__2010_11_FEFP_State_and_Local_Funding" localSheetId="23">'3398'!$A$5</definedName>
    <definedName name="_1.__2010_11_FEFP_State_and_Local_Funding" localSheetId="24">'3400'!$A$5</definedName>
    <definedName name="_1.__2010_11_FEFP_State_and_Local_Funding" localSheetId="25">'3401'!$A$5</definedName>
    <definedName name="_1.__2010_11_FEFP_State_and_Local_Funding" localSheetId="26">'3413'!$A$5</definedName>
    <definedName name="_1.__2010_11_FEFP_State_and_Local_Funding" localSheetId="27">'3421'!$A$5</definedName>
    <definedName name="_1.__2010_11_FEFP_State_and_Local_Funding" localSheetId="28">'3431'!$A$5</definedName>
    <definedName name="_1.__2010_11_FEFP_State_and_Local_Funding" localSheetId="29">'3441'!$A$5</definedName>
    <definedName name="_1.__2010_11_FEFP_State_and_Local_Funding" localSheetId="30">'3924'!$A$5</definedName>
    <definedName name="_1.__2010_11_FEFP_State_and_Local_Funding" localSheetId="31">'3941'!$A$5</definedName>
    <definedName name="_1.__2010_11_FEFP_State_and_Local_Funding" localSheetId="32">'3961'!$A$5</definedName>
    <definedName name="_1.__2010_11_FEFP_State_and_Local_Funding" localSheetId="33">'3971'!$A$5</definedName>
    <definedName name="_1.__2010_11_FEFP_State_and_Local_Funding" localSheetId="34">'4001'!$A$5</definedName>
    <definedName name="_1.__2010_11_FEFP_State_and_Local_Funding" localSheetId="35">'4002'!$A$5</definedName>
    <definedName name="_1.__2010_11_FEFP_State_and_Local_Funding" localSheetId="36">'4012'!$A$5</definedName>
    <definedName name="_1.__2010_11_FEFP_State_and_Local_Funding" localSheetId="37">'4013'!$A$5</definedName>
    <definedName name="_1.__2010_11_FEFP_State_and_Local_Funding" localSheetId="38">'4020'!$A$5</definedName>
    <definedName name="_1.__2010_11_FEFP_State_and_Local_Funding" localSheetId="39">'4030'!$A$5</definedName>
    <definedName name="_1.__2010_11_FEFP_State_and_Local_Funding" localSheetId="40">'4031'!$A$5</definedName>
    <definedName name="_1.__2010_11_FEFP_State_and_Local_Funding" localSheetId="41">'4041'!$A$5</definedName>
    <definedName name="_1.__2010_11_FEFP_State_and_Local_Funding" localSheetId="42">'4050'!$A$5</definedName>
    <definedName name="_1.__2010_11_FEFP_State_and_Local_Funding" localSheetId="43">'4051'!$A$5</definedName>
    <definedName name="_1.__2010_11_FEFP_State_and_Local_Funding" localSheetId="44">'4061'!$A$5</definedName>
    <definedName name="_1.__2010_11_FEFP_State_and_Local_Funding" localSheetId="45">'4080'!$A$5</definedName>
    <definedName name="_1.__2010_11_FEFP_State_and_Local_Funding" localSheetId="46">'4081'!$A$5</definedName>
    <definedName name="_1.__2010_11_FEFP_State_and_Local_Funding" localSheetId="47">'4090'!$A$5</definedName>
    <definedName name="_1.__2010_11_FEFP_State_and_Local_Funding" localSheetId="48">'4091'!$A$5</definedName>
    <definedName name="_1.__2010_11_FEFP_State_and_Local_Funding" localSheetId="49">'4100'!$A$5</definedName>
    <definedName name="_1.__2010_11_FEFP_State_and_Local_Funding" localSheetId="50">'4102'!$A$5</definedName>
    <definedName name="_1.__2010_11_FEFP_State_and_Local_Funding" localSheetId="51">'4103'!$A$5</definedName>
    <definedName name="_1.__2010_11_FEFP_State_and_Local_Funding" localSheetId="52">'4111'!$A$5</definedName>
    <definedName name="_1.__2010_11_FEFP_State_and_Local_Funding" localSheetId="53">'4131'!$A$5</definedName>
    <definedName name="_1.__2010_11_FEFP_State_and_Local_Funding">'0040'!$A$5</definedName>
    <definedName name="_101_Basic_K_3" localSheetId="6">'0100'!$A$12</definedName>
    <definedName name="_101_Basic_K_3" localSheetId="7">'1461'!$A$12</definedName>
    <definedName name="_101_Basic_K_3" localSheetId="8">'1571'!$A$12</definedName>
    <definedName name="_101_Basic_K_3" localSheetId="9">'2521'!$A$12</definedName>
    <definedName name="_101_Basic_K_3" localSheetId="10">'2531'!$A$12</definedName>
    <definedName name="_101_Basic_K_3" localSheetId="11">'2791'!$A$12</definedName>
    <definedName name="_101_Basic_K_3" localSheetId="12">'2801'!$A$12</definedName>
    <definedName name="_101_Basic_K_3" localSheetId="13">'2911'!$A$12</definedName>
    <definedName name="_101_Basic_K_3" localSheetId="14">'2941'!$A$12</definedName>
    <definedName name="_101_Basic_K_3" localSheetId="15">'3083'!$A$12</definedName>
    <definedName name="_101_Basic_K_3" localSheetId="16">'3345'!$A$12</definedName>
    <definedName name="_101_Basic_K_3" localSheetId="17">'3381'!$A$12</definedName>
    <definedName name="_101_Basic_K_3" localSheetId="18">'3382'!$A$12</definedName>
    <definedName name="_101_Basic_K_3" localSheetId="19">'3391'!$A$12</definedName>
    <definedName name="_101_Basic_K_3" localSheetId="20">'3394'!$A$12</definedName>
    <definedName name="_101_Basic_K_3" localSheetId="21">'3395'!$A$12</definedName>
    <definedName name="_101_Basic_K_3" localSheetId="22">'3396'!$A$12</definedName>
    <definedName name="_101_Basic_K_3" localSheetId="23">'3398'!$A$12</definedName>
    <definedName name="_101_Basic_K_3" localSheetId="24">'3400'!$A$12</definedName>
    <definedName name="_101_Basic_K_3" localSheetId="25">'3401'!$A$12</definedName>
    <definedName name="_101_Basic_K_3" localSheetId="26">'3413'!$A$12</definedName>
    <definedName name="_101_Basic_K_3" localSheetId="27">'3421'!$A$12</definedName>
    <definedName name="_101_Basic_K_3" localSheetId="28">'3431'!$A$12</definedName>
    <definedName name="_101_Basic_K_3" localSheetId="29">'3441'!$A$12</definedName>
    <definedName name="_101_Basic_K_3" localSheetId="30">'3924'!$A$12</definedName>
    <definedName name="_101_Basic_K_3" localSheetId="31">'3941'!$A$12</definedName>
    <definedName name="_101_Basic_K_3" localSheetId="32">'3961'!$A$12</definedName>
    <definedName name="_101_Basic_K_3" localSheetId="33">'3971'!$A$12</definedName>
    <definedName name="_101_Basic_K_3" localSheetId="34">'4001'!$A$12</definedName>
    <definedName name="_101_Basic_K_3" localSheetId="35">'4002'!$A$12</definedName>
    <definedName name="_101_Basic_K_3" localSheetId="36">'4012'!$A$12</definedName>
    <definedName name="_101_Basic_K_3" localSheetId="37">'4013'!$A$12</definedName>
    <definedName name="_101_Basic_K_3" localSheetId="38">'4020'!$A$12</definedName>
    <definedName name="_101_Basic_K_3" localSheetId="39">'4030'!$A$12</definedName>
    <definedName name="_101_Basic_K_3" localSheetId="40">'4031'!$A$12</definedName>
    <definedName name="_101_Basic_K_3" localSheetId="41">'4041'!$A$12</definedName>
    <definedName name="_101_Basic_K_3" localSheetId="42">'4050'!$A$12</definedName>
    <definedName name="_101_Basic_K_3" localSheetId="43">'4051'!$A$12</definedName>
    <definedName name="_101_Basic_K_3" localSheetId="44">'4061'!$A$12</definedName>
    <definedName name="_101_Basic_K_3" localSheetId="45">'4080'!$A$12</definedName>
    <definedName name="_101_Basic_K_3" localSheetId="46">'4081'!$A$12</definedName>
    <definedName name="_101_Basic_K_3" localSheetId="47">'4090'!$A$12</definedName>
    <definedName name="_101_Basic_K_3" localSheetId="48">'4091'!$A$12</definedName>
    <definedName name="_101_Basic_K_3" localSheetId="49">'4100'!$A$12</definedName>
    <definedName name="_101_Basic_K_3" localSheetId="50">'4102'!$A$12</definedName>
    <definedName name="_101_Basic_K_3" localSheetId="51">'4103'!$A$12</definedName>
    <definedName name="_101_Basic_K_3" localSheetId="52">'4111'!$A$12</definedName>
    <definedName name="_101_Basic_K_3" localSheetId="53">'4131'!$A$12</definedName>
    <definedName name="_101_Basic_K_3">'0040'!$A$12</definedName>
    <definedName name="_102_Basic_4_8" localSheetId="6">'0100'!$A$14</definedName>
    <definedName name="_102_Basic_4_8" localSheetId="7">'1461'!$A$14</definedName>
    <definedName name="_102_Basic_4_8" localSheetId="8">'1571'!$A$14</definedName>
    <definedName name="_102_Basic_4_8" localSheetId="9">'2521'!$A$14</definedName>
    <definedName name="_102_Basic_4_8" localSheetId="10">'2531'!$A$14</definedName>
    <definedName name="_102_Basic_4_8" localSheetId="11">'2791'!$A$14</definedName>
    <definedName name="_102_Basic_4_8" localSheetId="12">'2801'!$A$14</definedName>
    <definedName name="_102_Basic_4_8" localSheetId="13">'2911'!$A$14</definedName>
    <definedName name="_102_Basic_4_8" localSheetId="14">'2941'!$A$14</definedName>
    <definedName name="_102_Basic_4_8" localSheetId="15">'3083'!$A$14</definedName>
    <definedName name="_102_Basic_4_8" localSheetId="16">'3345'!$A$14</definedName>
    <definedName name="_102_Basic_4_8" localSheetId="17">'3381'!$A$14</definedName>
    <definedName name="_102_Basic_4_8" localSheetId="18">'3382'!$A$14</definedName>
    <definedName name="_102_Basic_4_8" localSheetId="19">'3391'!$A$14</definedName>
    <definedName name="_102_Basic_4_8" localSheetId="20">'3394'!$A$14</definedName>
    <definedName name="_102_Basic_4_8" localSheetId="21">'3395'!$A$14</definedName>
    <definedName name="_102_Basic_4_8" localSheetId="22">'3396'!$A$14</definedName>
    <definedName name="_102_Basic_4_8" localSheetId="23">'3398'!$A$14</definedName>
    <definedName name="_102_Basic_4_8" localSheetId="24">'3400'!$A$14</definedName>
    <definedName name="_102_Basic_4_8" localSheetId="25">'3401'!$A$14</definedName>
    <definedName name="_102_Basic_4_8" localSheetId="26">'3413'!$A$14</definedName>
    <definedName name="_102_Basic_4_8" localSheetId="27">'3421'!$A$14</definedName>
    <definedName name="_102_Basic_4_8" localSheetId="28">'3431'!$A$14</definedName>
    <definedName name="_102_Basic_4_8" localSheetId="29">'3441'!$A$14</definedName>
    <definedName name="_102_Basic_4_8" localSheetId="30">'3924'!$A$14</definedName>
    <definedName name="_102_Basic_4_8" localSheetId="31">'3941'!$A$14</definedName>
    <definedName name="_102_Basic_4_8" localSheetId="32">'3961'!$A$14</definedName>
    <definedName name="_102_Basic_4_8" localSheetId="33">'3971'!$A$14</definedName>
    <definedName name="_102_Basic_4_8" localSheetId="34">'4001'!$A$14</definedName>
    <definedName name="_102_Basic_4_8" localSheetId="35">'4002'!$A$14</definedName>
    <definedName name="_102_Basic_4_8" localSheetId="36">'4012'!$A$14</definedName>
    <definedName name="_102_Basic_4_8" localSheetId="37">'4013'!$A$14</definedName>
    <definedName name="_102_Basic_4_8" localSheetId="38">'4020'!$A$14</definedName>
    <definedName name="_102_Basic_4_8" localSheetId="39">'4030'!$A$14</definedName>
    <definedName name="_102_Basic_4_8" localSheetId="40">'4031'!$A$14</definedName>
    <definedName name="_102_Basic_4_8" localSheetId="41">'4041'!$A$14</definedName>
    <definedName name="_102_Basic_4_8" localSheetId="42">'4050'!$A$14</definedName>
    <definedName name="_102_Basic_4_8" localSheetId="43">'4051'!$A$14</definedName>
    <definedName name="_102_Basic_4_8" localSheetId="44">'4061'!$A$14</definedName>
    <definedName name="_102_Basic_4_8" localSheetId="45">'4080'!$A$14</definedName>
    <definedName name="_102_Basic_4_8" localSheetId="46">'4081'!$A$14</definedName>
    <definedName name="_102_Basic_4_8" localSheetId="47">'4090'!$A$14</definedName>
    <definedName name="_102_Basic_4_8" localSheetId="48">'4091'!$A$14</definedName>
    <definedName name="_102_Basic_4_8" localSheetId="49">'4100'!$A$14</definedName>
    <definedName name="_102_Basic_4_8" localSheetId="50">'4102'!$A$14</definedName>
    <definedName name="_102_Basic_4_8" localSheetId="51">'4103'!$A$14</definedName>
    <definedName name="_102_Basic_4_8" localSheetId="52">'4111'!$A$14</definedName>
    <definedName name="_102_Basic_4_8" localSheetId="53">'4131'!$A$14</definedName>
    <definedName name="_102_Basic_4_8">'0040'!$A$14</definedName>
    <definedName name="_103_Basic_9_12" localSheetId="6">'0100'!$A$16</definedName>
    <definedName name="_103_Basic_9_12" localSheetId="7">'1461'!$A$16</definedName>
    <definedName name="_103_Basic_9_12" localSheetId="8">'1571'!$A$16</definedName>
    <definedName name="_103_Basic_9_12" localSheetId="9">'2521'!$A$16</definedName>
    <definedName name="_103_Basic_9_12" localSheetId="10">'2531'!$A$16</definedName>
    <definedName name="_103_Basic_9_12" localSheetId="11">'2791'!$A$16</definedName>
    <definedName name="_103_Basic_9_12" localSheetId="12">'2801'!$A$16</definedName>
    <definedName name="_103_Basic_9_12" localSheetId="13">'2911'!$A$16</definedName>
    <definedName name="_103_Basic_9_12" localSheetId="14">'2941'!$A$16</definedName>
    <definedName name="_103_Basic_9_12" localSheetId="15">'3083'!$A$16</definedName>
    <definedName name="_103_Basic_9_12" localSheetId="16">'3345'!$A$16</definedName>
    <definedName name="_103_Basic_9_12" localSheetId="17">'3381'!$A$16</definedName>
    <definedName name="_103_Basic_9_12" localSheetId="18">'3382'!$A$16</definedName>
    <definedName name="_103_Basic_9_12" localSheetId="19">'3391'!$A$16</definedName>
    <definedName name="_103_Basic_9_12" localSheetId="20">'3394'!$A$16</definedName>
    <definedName name="_103_Basic_9_12" localSheetId="21">'3395'!$A$16</definedName>
    <definedName name="_103_Basic_9_12" localSheetId="22">'3396'!$A$16</definedName>
    <definedName name="_103_Basic_9_12" localSheetId="23">'3398'!$A$16</definedName>
    <definedName name="_103_Basic_9_12" localSheetId="24">'3400'!$A$16</definedName>
    <definedName name="_103_Basic_9_12" localSheetId="25">'3401'!$A$16</definedName>
    <definedName name="_103_Basic_9_12" localSheetId="26">'3413'!$A$16</definedName>
    <definedName name="_103_Basic_9_12" localSheetId="27">'3421'!$A$16</definedName>
    <definedName name="_103_Basic_9_12" localSheetId="28">'3431'!$A$16</definedName>
    <definedName name="_103_Basic_9_12" localSheetId="29">'3441'!$A$16</definedName>
    <definedName name="_103_Basic_9_12" localSheetId="30">'3924'!$A$16</definedName>
    <definedName name="_103_Basic_9_12" localSheetId="31">'3941'!$A$16</definedName>
    <definedName name="_103_Basic_9_12" localSheetId="32">'3961'!$A$16</definedName>
    <definedName name="_103_Basic_9_12" localSheetId="33">'3971'!$A$16</definedName>
    <definedName name="_103_Basic_9_12" localSheetId="34">'4001'!$A$16</definedName>
    <definedName name="_103_Basic_9_12" localSheetId="35">'4002'!$A$16</definedName>
    <definedName name="_103_Basic_9_12" localSheetId="36">'4012'!$A$16</definedName>
    <definedName name="_103_Basic_9_12" localSheetId="37">'4013'!$A$16</definedName>
    <definedName name="_103_Basic_9_12" localSheetId="38">'4020'!$A$16</definedName>
    <definedName name="_103_Basic_9_12" localSheetId="39">'4030'!$A$16</definedName>
    <definedName name="_103_Basic_9_12" localSheetId="40">'4031'!$A$16</definedName>
    <definedName name="_103_Basic_9_12" localSheetId="41">'4041'!$A$16</definedName>
    <definedName name="_103_Basic_9_12" localSheetId="42">'4050'!$A$16</definedName>
    <definedName name="_103_Basic_9_12" localSheetId="43">'4051'!$A$16</definedName>
    <definedName name="_103_Basic_9_12" localSheetId="44">'4061'!$A$16</definedName>
    <definedName name="_103_Basic_9_12" localSheetId="45">'4080'!$A$16</definedName>
    <definedName name="_103_Basic_9_12" localSheetId="46">'4081'!$A$16</definedName>
    <definedName name="_103_Basic_9_12" localSheetId="47">'4090'!$A$16</definedName>
    <definedName name="_103_Basic_9_12" localSheetId="48">'4091'!$A$16</definedName>
    <definedName name="_103_Basic_9_12" localSheetId="49">'4100'!$A$16</definedName>
    <definedName name="_103_Basic_9_12" localSheetId="50">'4102'!$A$16</definedName>
    <definedName name="_103_Basic_9_12" localSheetId="51">'4103'!$A$16</definedName>
    <definedName name="_103_Basic_9_12" localSheetId="52">'4111'!$A$16</definedName>
    <definedName name="_103_Basic_9_12" localSheetId="53">'4131'!$A$16</definedName>
    <definedName name="_103_Basic_9_12">'0040'!$A$16</definedName>
    <definedName name="_111_Basic_K_3_with_ESE_Services" localSheetId="6">'0100'!$A$13</definedName>
    <definedName name="_111_Basic_K_3_with_ESE_Services" localSheetId="7">'1461'!$A$13</definedName>
    <definedName name="_111_Basic_K_3_with_ESE_Services" localSheetId="8">'1571'!$A$13</definedName>
    <definedName name="_111_Basic_K_3_with_ESE_Services" localSheetId="9">'2521'!$A$13</definedName>
    <definedName name="_111_Basic_K_3_with_ESE_Services" localSheetId="10">'2531'!$A$13</definedName>
    <definedName name="_111_Basic_K_3_with_ESE_Services" localSheetId="11">'2791'!$A$13</definedName>
    <definedName name="_111_Basic_K_3_with_ESE_Services" localSheetId="12">'2801'!$A$13</definedName>
    <definedName name="_111_Basic_K_3_with_ESE_Services" localSheetId="13">'2911'!$A$13</definedName>
    <definedName name="_111_Basic_K_3_with_ESE_Services" localSheetId="14">'2941'!$A$13</definedName>
    <definedName name="_111_Basic_K_3_with_ESE_Services" localSheetId="15">'3083'!$A$13</definedName>
    <definedName name="_111_Basic_K_3_with_ESE_Services" localSheetId="16">'3345'!$A$13</definedName>
    <definedName name="_111_Basic_K_3_with_ESE_Services" localSheetId="17">'3381'!$A$13</definedName>
    <definedName name="_111_Basic_K_3_with_ESE_Services" localSheetId="18">'3382'!$A$13</definedName>
    <definedName name="_111_Basic_K_3_with_ESE_Services" localSheetId="19">'3391'!$A$13</definedName>
    <definedName name="_111_Basic_K_3_with_ESE_Services" localSheetId="20">'3394'!$A$13</definedName>
    <definedName name="_111_Basic_K_3_with_ESE_Services" localSheetId="21">'3395'!$A$13</definedName>
    <definedName name="_111_Basic_K_3_with_ESE_Services" localSheetId="22">'3396'!$A$13</definedName>
    <definedName name="_111_Basic_K_3_with_ESE_Services" localSheetId="23">'3398'!$A$13</definedName>
    <definedName name="_111_Basic_K_3_with_ESE_Services" localSheetId="24">'3400'!$A$13</definedName>
    <definedName name="_111_Basic_K_3_with_ESE_Services" localSheetId="25">'3401'!$A$13</definedName>
    <definedName name="_111_Basic_K_3_with_ESE_Services" localSheetId="26">'3413'!$A$13</definedName>
    <definedName name="_111_Basic_K_3_with_ESE_Services" localSheetId="27">'3421'!$A$13</definedName>
    <definedName name="_111_Basic_K_3_with_ESE_Services" localSheetId="28">'3431'!$A$13</definedName>
    <definedName name="_111_Basic_K_3_with_ESE_Services" localSheetId="29">'3441'!$A$13</definedName>
    <definedName name="_111_Basic_K_3_with_ESE_Services" localSheetId="30">'3924'!$A$13</definedName>
    <definedName name="_111_Basic_K_3_with_ESE_Services" localSheetId="31">'3941'!$A$13</definedName>
    <definedName name="_111_Basic_K_3_with_ESE_Services" localSheetId="32">'3961'!$A$13</definedName>
    <definedName name="_111_Basic_K_3_with_ESE_Services" localSheetId="33">'3971'!$A$13</definedName>
    <definedName name="_111_Basic_K_3_with_ESE_Services" localSheetId="34">'4001'!$A$13</definedName>
    <definedName name="_111_Basic_K_3_with_ESE_Services" localSheetId="35">'4002'!$A$13</definedName>
    <definedName name="_111_Basic_K_3_with_ESE_Services" localSheetId="36">'4012'!$A$13</definedName>
    <definedName name="_111_Basic_K_3_with_ESE_Services" localSheetId="37">'4013'!$A$13</definedName>
    <definedName name="_111_Basic_K_3_with_ESE_Services" localSheetId="38">'4020'!$A$13</definedName>
    <definedName name="_111_Basic_K_3_with_ESE_Services" localSheetId="39">'4030'!$A$13</definedName>
    <definedName name="_111_Basic_K_3_with_ESE_Services" localSheetId="40">'4031'!$A$13</definedName>
    <definedName name="_111_Basic_K_3_with_ESE_Services" localSheetId="41">'4041'!$A$13</definedName>
    <definedName name="_111_Basic_K_3_with_ESE_Services" localSheetId="42">'4050'!$A$13</definedName>
    <definedName name="_111_Basic_K_3_with_ESE_Services" localSheetId="43">'4051'!$A$13</definedName>
    <definedName name="_111_Basic_K_3_with_ESE_Services" localSheetId="44">'4061'!$A$13</definedName>
    <definedName name="_111_Basic_K_3_with_ESE_Services" localSheetId="45">'4080'!$A$13</definedName>
    <definedName name="_111_Basic_K_3_with_ESE_Services" localSheetId="46">'4081'!$A$13</definedName>
    <definedName name="_111_Basic_K_3_with_ESE_Services" localSheetId="47">'4090'!$A$13</definedName>
    <definedName name="_111_Basic_K_3_with_ESE_Services" localSheetId="48">'4091'!$A$13</definedName>
    <definedName name="_111_Basic_K_3_with_ESE_Services" localSheetId="49">'4100'!$A$13</definedName>
    <definedName name="_111_Basic_K_3_with_ESE_Services" localSheetId="50">'4102'!$A$13</definedName>
    <definedName name="_111_Basic_K_3_with_ESE_Services" localSheetId="51">'4103'!$A$13</definedName>
    <definedName name="_111_Basic_K_3_with_ESE_Services" localSheetId="52">'4111'!$A$13</definedName>
    <definedName name="_111_Basic_K_3_with_ESE_Services" localSheetId="53">'4131'!$A$13</definedName>
    <definedName name="_111_Basic_K_3_with_ESE_Services">'0040'!$A$13</definedName>
    <definedName name="_112_Basic_4_8_with_ESE_Services" localSheetId="6">'0100'!$A$15</definedName>
    <definedName name="_112_Basic_4_8_with_ESE_Services" localSheetId="7">'1461'!$A$15</definedName>
    <definedName name="_112_Basic_4_8_with_ESE_Services" localSheetId="8">'1571'!$A$15</definedName>
    <definedName name="_112_Basic_4_8_with_ESE_Services" localSheetId="9">'2521'!$A$15</definedName>
    <definedName name="_112_Basic_4_8_with_ESE_Services" localSheetId="10">'2531'!$A$15</definedName>
    <definedName name="_112_Basic_4_8_with_ESE_Services" localSheetId="11">'2791'!$A$15</definedName>
    <definedName name="_112_Basic_4_8_with_ESE_Services" localSheetId="12">'2801'!$A$15</definedName>
    <definedName name="_112_Basic_4_8_with_ESE_Services" localSheetId="13">'2911'!$A$15</definedName>
    <definedName name="_112_Basic_4_8_with_ESE_Services" localSheetId="14">'2941'!$A$15</definedName>
    <definedName name="_112_Basic_4_8_with_ESE_Services" localSheetId="15">'3083'!$A$15</definedName>
    <definedName name="_112_Basic_4_8_with_ESE_Services" localSheetId="16">'3345'!$A$15</definedName>
    <definedName name="_112_Basic_4_8_with_ESE_Services" localSheetId="17">'3381'!$A$15</definedName>
    <definedName name="_112_Basic_4_8_with_ESE_Services" localSheetId="18">'3382'!$A$15</definedName>
    <definedName name="_112_Basic_4_8_with_ESE_Services" localSheetId="19">'3391'!$A$15</definedName>
    <definedName name="_112_Basic_4_8_with_ESE_Services" localSheetId="20">'3394'!$A$15</definedName>
    <definedName name="_112_Basic_4_8_with_ESE_Services" localSheetId="21">'3395'!$A$15</definedName>
    <definedName name="_112_Basic_4_8_with_ESE_Services" localSheetId="22">'3396'!$A$15</definedName>
    <definedName name="_112_Basic_4_8_with_ESE_Services" localSheetId="23">'3398'!$A$15</definedName>
    <definedName name="_112_Basic_4_8_with_ESE_Services" localSheetId="24">'3400'!$A$15</definedName>
    <definedName name="_112_Basic_4_8_with_ESE_Services" localSheetId="25">'3401'!$A$15</definedName>
    <definedName name="_112_Basic_4_8_with_ESE_Services" localSheetId="26">'3413'!$A$15</definedName>
    <definedName name="_112_Basic_4_8_with_ESE_Services" localSheetId="27">'3421'!$A$15</definedName>
    <definedName name="_112_Basic_4_8_with_ESE_Services" localSheetId="28">'3431'!$A$15</definedName>
    <definedName name="_112_Basic_4_8_with_ESE_Services" localSheetId="29">'3441'!$A$15</definedName>
    <definedName name="_112_Basic_4_8_with_ESE_Services" localSheetId="30">'3924'!$A$15</definedName>
    <definedName name="_112_Basic_4_8_with_ESE_Services" localSheetId="31">'3941'!$A$15</definedName>
    <definedName name="_112_Basic_4_8_with_ESE_Services" localSheetId="32">'3961'!$A$15</definedName>
    <definedName name="_112_Basic_4_8_with_ESE_Services" localSheetId="33">'3971'!$A$15</definedName>
    <definedName name="_112_Basic_4_8_with_ESE_Services" localSheetId="34">'4001'!$A$15</definedName>
    <definedName name="_112_Basic_4_8_with_ESE_Services" localSheetId="35">'4002'!$A$15</definedName>
    <definedName name="_112_Basic_4_8_with_ESE_Services" localSheetId="36">'4012'!$A$15</definedName>
    <definedName name="_112_Basic_4_8_with_ESE_Services" localSheetId="37">'4013'!$A$15</definedName>
    <definedName name="_112_Basic_4_8_with_ESE_Services" localSheetId="38">'4020'!$A$15</definedName>
    <definedName name="_112_Basic_4_8_with_ESE_Services" localSheetId="39">'4030'!$A$15</definedName>
    <definedName name="_112_Basic_4_8_with_ESE_Services" localSheetId="40">'4031'!$A$15</definedName>
    <definedName name="_112_Basic_4_8_with_ESE_Services" localSheetId="41">'4041'!$A$15</definedName>
    <definedName name="_112_Basic_4_8_with_ESE_Services" localSheetId="42">'4050'!$A$15</definedName>
    <definedName name="_112_Basic_4_8_with_ESE_Services" localSheetId="43">'4051'!$A$15</definedName>
    <definedName name="_112_Basic_4_8_with_ESE_Services" localSheetId="44">'4061'!$A$15</definedName>
    <definedName name="_112_Basic_4_8_with_ESE_Services" localSheetId="45">'4080'!$A$15</definedName>
    <definedName name="_112_Basic_4_8_with_ESE_Services" localSheetId="46">'4081'!$A$15</definedName>
    <definedName name="_112_Basic_4_8_with_ESE_Services" localSheetId="47">'4090'!$A$15</definedName>
    <definedName name="_112_Basic_4_8_with_ESE_Services" localSheetId="48">'4091'!$A$15</definedName>
    <definedName name="_112_Basic_4_8_with_ESE_Services" localSheetId="49">'4100'!$A$15</definedName>
    <definedName name="_112_Basic_4_8_with_ESE_Services" localSheetId="50">'4102'!$A$15</definedName>
    <definedName name="_112_Basic_4_8_with_ESE_Services" localSheetId="51">'4103'!$A$15</definedName>
    <definedName name="_112_Basic_4_8_with_ESE_Services" localSheetId="52">'4111'!$A$15</definedName>
    <definedName name="_112_Basic_4_8_with_ESE_Services" localSheetId="53">'4131'!$A$15</definedName>
    <definedName name="_112_Basic_4_8_with_ESE_Services">'0040'!$A$15</definedName>
    <definedName name="_113_Basic_9_12_with_ESE_Services" localSheetId="6">'0100'!$A$17</definedName>
    <definedName name="_113_Basic_9_12_with_ESE_Services" localSheetId="7">'1461'!$A$17</definedName>
    <definedName name="_113_Basic_9_12_with_ESE_Services" localSheetId="8">'1571'!$A$17</definedName>
    <definedName name="_113_Basic_9_12_with_ESE_Services" localSheetId="9">'2521'!$A$17</definedName>
    <definedName name="_113_Basic_9_12_with_ESE_Services" localSheetId="10">'2531'!$A$17</definedName>
    <definedName name="_113_Basic_9_12_with_ESE_Services" localSheetId="11">'2791'!$A$17</definedName>
    <definedName name="_113_Basic_9_12_with_ESE_Services" localSheetId="12">'2801'!$A$17</definedName>
    <definedName name="_113_Basic_9_12_with_ESE_Services" localSheetId="13">'2911'!$A$17</definedName>
    <definedName name="_113_Basic_9_12_with_ESE_Services" localSheetId="14">'2941'!$A$17</definedName>
    <definedName name="_113_Basic_9_12_with_ESE_Services" localSheetId="15">'3083'!$A$17</definedName>
    <definedName name="_113_Basic_9_12_with_ESE_Services" localSheetId="16">'3345'!$A$17</definedName>
    <definedName name="_113_Basic_9_12_with_ESE_Services" localSheetId="17">'3381'!$A$17</definedName>
    <definedName name="_113_Basic_9_12_with_ESE_Services" localSheetId="18">'3382'!$A$17</definedName>
    <definedName name="_113_Basic_9_12_with_ESE_Services" localSheetId="19">'3391'!$A$17</definedName>
    <definedName name="_113_Basic_9_12_with_ESE_Services" localSheetId="20">'3394'!$A$17</definedName>
    <definedName name="_113_Basic_9_12_with_ESE_Services" localSheetId="21">'3395'!$A$17</definedName>
    <definedName name="_113_Basic_9_12_with_ESE_Services" localSheetId="22">'3396'!$A$17</definedName>
    <definedName name="_113_Basic_9_12_with_ESE_Services" localSheetId="23">'3398'!$A$17</definedName>
    <definedName name="_113_Basic_9_12_with_ESE_Services" localSheetId="24">'3400'!$A$17</definedName>
    <definedName name="_113_Basic_9_12_with_ESE_Services" localSheetId="25">'3401'!$A$17</definedName>
    <definedName name="_113_Basic_9_12_with_ESE_Services" localSheetId="26">'3413'!$A$17</definedName>
    <definedName name="_113_Basic_9_12_with_ESE_Services" localSheetId="27">'3421'!$A$17</definedName>
    <definedName name="_113_Basic_9_12_with_ESE_Services" localSheetId="28">'3431'!$A$17</definedName>
    <definedName name="_113_Basic_9_12_with_ESE_Services" localSheetId="29">'3441'!$A$17</definedName>
    <definedName name="_113_Basic_9_12_with_ESE_Services" localSheetId="30">'3924'!$A$17</definedName>
    <definedName name="_113_Basic_9_12_with_ESE_Services" localSheetId="31">'3941'!$A$17</definedName>
    <definedName name="_113_Basic_9_12_with_ESE_Services" localSheetId="32">'3961'!$A$17</definedName>
    <definedName name="_113_Basic_9_12_with_ESE_Services" localSheetId="33">'3971'!$A$17</definedName>
    <definedName name="_113_Basic_9_12_with_ESE_Services" localSheetId="34">'4001'!$A$17</definedName>
    <definedName name="_113_Basic_9_12_with_ESE_Services" localSheetId="35">'4002'!$A$17</definedName>
    <definedName name="_113_Basic_9_12_with_ESE_Services" localSheetId="36">'4012'!$A$17</definedName>
    <definedName name="_113_Basic_9_12_with_ESE_Services" localSheetId="37">'4013'!$A$17</definedName>
    <definedName name="_113_Basic_9_12_with_ESE_Services" localSheetId="38">'4020'!$A$17</definedName>
    <definedName name="_113_Basic_9_12_with_ESE_Services" localSheetId="39">'4030'!$A$17</definedName>
    <definedName name="_113_Basic_9_12_with_ESE_Services" localSheetId="40">'4031'!$A$17</definedName>
    <definedName name="_113_Basic_9_12_with_ESE_Services" localSheetId="41">'4041'!$A$17</definedName>
    <definedName name="_113_Basic_9_12_with_ESE_Services" localSheetId="42">'4050'!$A$17</definedName>
    <definedName name="_113_Basic_9_12_with_ESE_Services" localSheetId="43">'4051'!$A$17</definedName>
    <definedName name="_113_Basic_9_12_with_ESE_Services" localSheetId="44">'4061'!$A$17</definedName>
    <definedName name="_113_Basic_9_12_with_ESE_Services" localSheetId="45">'4080'!$A$17</definedName>
    <definedName name="_113_Basic_9_12_with_ESE_Services" localSheetId="46">'4081'!$A$17</definedName>
    <definedName name="_113_Basic_9_12_with_ESE_Services" localSheetId="47">'4090'!$A$17</definedName>
    <definedName name="_113_Basic_9_12_with_ESE_Services" localSheetId="48">'4091'!$A$17</definedName>
    <definedName name="_113_Basic_9_12_with_ESE_Services" localSheetId="49">'4100'!$A$17</definedName>
    <definedName name="_113_Basic_9_12_with_ESE_Services" localSheetId="50">'4102'!$A$17</definedName>
    <definedName name="_113_Basic_9_12_with_ESE_Services" localSheetId="51">'4103'!$A$17</definedName>
    <definedName name="_113_Basic_9_12_with_ESE_Services" localSheetId="52">'4111'!$A$17</definedName>
    <definedName name="_113_Basic_9_12_with_ESE_Services" localSheetId="53">'4131'!$A$17</definedName>
    <definedName name="_113_Basic_9_12_with_ESE_Services">'0040'!$A$17</definedName>
    <definedName name="_130_ESOL__Grade_Level_4_8" localSheetId="6">'0100'!$A$25</definedName>
    <definedName name="_130_ESOL__Grade_Level_4_8" localSheetId="7">'1461'!$A$25</definedName>
    <definedName name="_130_ESOL__Grade_Level_4_8" localSheetId="8">'1571'!$A$25</definedName>
    <definedName name="_130_ESOL__Grade_Level_4_8" localSheetId="9">'2521'!$A$25</definedName>
    <definedName name="_130_ESOL__Grade_Level_4_8" localSheetId="10">'2531'!$A$25</definedName>
    <definedName name="_130_ESOL__Grade_Level_4_8" localSheetId="11">'2791'!$A$25</definedName>
    <definedName name="_130_ESOL__Grade_Level_4_8" localSheetId="12">'2801'!$A$25</definedName>
    <definedName name="_130_ESOL__Grade_Level_4_8" localSheetId="13">'2911'!$A$25</definedName>
    <definedName name="_130_ESOL__Grade_Level_4_8" localSheetId="14">'2941'!$A$25</definedName>
    <definedName name="_130_ESOL__Grade_Level_4_8" localSheetId="15">'3083'!$A$25</definedName>
    <definedName name="_130_ESOL__Grade_Level_4_8" localSheetId="16">'3345'!$A$25</definedName>
    <definedName name="_130_ESOL__Grade_Level_4_8" localSheetId="17">'3381'!$A$25</definedName>
    <definedName name="_130_ESOL__Grade_Level_4_8" localSheetId="18">'3382'!$A$25</definedName>
    <definedName name="_130_ESOL__Grade_Level_4_8" localSheetId="19">'3391'!$A$25</definedName>
    <definedName name="_130_ESOL__Grade_Level_4_8" localSheetId="20">'3394'!$A$25</definedName>
    <definedName name="_130_ESOL__Grade_Level_4_8" localSheetId="21">'3395'!$A$25</definedName>
    <definedName name="_130_ESOL__Grade_Level_4_8" localSheetId="22">'3396'!$A$25</definedName>
    <definedName name="_130_ESOL__Grade_Level_4_8" localSheetId="23">'3398'!$A$25</definedName>
    <definedName name="_130_ESOL__Grade_Level_4_8" localSheetId="24">'3400'!$A$25</definedName>
    <definedName name="_130_ESOL__Grade_Level_4_8" localSheetId="25">'3401'!$A$25</definedName>
    <definedName name="_130_ESOL__Grade_Level_4_8" localSheetId="26">'3413'!$A$25</definedName>
    <definedName name="_130_ESOL__Grade_Level_4_8" localSheetId="27">'3421'!$A$25</definedName>
    <definedName name="_130_ESOL__Grade_Level_4_8" localSheetId="28">'3431'!$A$25</definedName>
    <definedName name="_130_ESOL__Grade_Level_4_8" localSheetId="29">'3441'!$A$25</definedName>
    <definedName name="_130_ESOL__Grade_Level_4_8" localSheetId="30">'3924'!$A$25</definedName>
    <definedName name="_130_ESOL__Grade_Level_4_8" localSheetId="31">'3941'!$A$25</definedName>
    <definedName name="_130_ESOL__Grade_Level_4_8" localSheetId="32">'3961'!$A$25</definedName>
    <definedName name="_130_ESOL__Grade_Level_4_8" localSheetId="33">'3971'!$A$25</definedName>
    <definedName name="_130_ESOL__Grade_Level_4_8" localSheetId="34">'4001'!$A$25</definedName>
    <definedName name="_130_ESOL__Grade_Level_4_8" localSheetId="35">'4002'!$A$25</definedName>
    <definedName name="_130_ESOL__Grade_Level_4_8" localSheetId="36">'4012'!$A$25</definedName>
    <definedName name="_130_ESOL__Grade_Level_4_8" localSheetId="37">'4013'!$A$25</definedName>
    <definedName name="_130_ESOL__Grade_Level_4_8" localSheetId="38">'4020'!$A$25</definedName>
    <definedName name="_130_ESOL__Grade_Level_4_8" localSheetId="39">'4030'!$A$25</definedName>
    <definedName name="_130_ESOL__Grade_Level_4_8" localSheetId="40">'4031'!$A$25</definedName>
    <definedName name="_130_ESOL__Grade_Level_4_8" localSheetId="41">'4041'!$A$25</definedName>
    <definedName name="_130_ESOL__Grade_Level_4_8" localSheetId="42">'4050'!$A$25</definedName>
    <definedName name="_130_ESOL__Grade_Level_4_8" localSheetId="43">'4051'!$A$25</definedName>
    <definedName name="_130_ESOL__Grade_Level_4_8" localSheetId="44">'4061'!$A$25</definedName>
    <definedName name="_130_ESOL__Grade_Level_4_8" localSheetId="45">'4080'!$A$25</definedName>
    <definedName name="_130_ESOL__Grade_Level_4_8" localSheetId="46">'4081'!$A$25</definedName>
    <definedName name="_130_ESOL__Grade_Level_4_8" localSheetId="47">'4090'!$A$25</definedName>
    <definedName name="_130_ESOL__Grade_Level_4_8" localSheetId="48">'4091'!$A$25</definedName>
    <definedName name="_130_ESOL__Grade_Level_4_8" localSheetId="49">'4100'!$A$25</definedName>
    <definedName name="_130_ESOL__Grade_Level_4_8" localSheetId="50">'4102'!$A$25</definedName>
    <definedName name="_130_ESOL__Grade_Level_4_8" localSheetId="51">'4103'!$A$25</definedName>
    <definedName name="_130_ESOL__Grade_Level_4_8" localSheetId="52">'4111'!$A$25</definedName>
    <definedName name="_130_ESOL__Grade_Level_4_8" localSheetId="53">'4131'!$A$25</definedName>
    <definedName name="_130_ESOL__Grade_Level_4_8">'0040'!$A$25</definedName>
    <definedName name="_130_ESOL__Grade_Level_9_12" localSheetId="6">'0100'!$A$26</definedName>
    <definedName name="_130_ESOL__Grade_Level_9_12" localSheetId="7">'1461'!$A$26</definedName>
    <definedName name="_130_ESOL__Grade_Level_9_12" localSheetId="8">'1571'!$A$26</definedName>
    <definedName name="_130_ESOL__Grade_Level_9_12" localSheetId="9">'2521'!$A$26</definedName>
    <definedName name="_130_ESOL__Grade_Level_9_12" localSheetId="10">'2531'!$A$26</definedName>
    <definedName name="_130_ESOL__Grade_Level_9_12" localSheetId="11">'2791'!$A$26</definedName>
    <definedName name="_130_ESOL__Grade_Level_9_12" localSheetId="12">'2801'!$A$26</definedName>
    <definedName name="_130_ESOL__Grade_Level_9_12" localSheetId="13">'2911'!$A$26</definedName>
    <definedName name="_130_ESOL__Grade_Level_9_12" localSheetId="14">'2941'!$A$26</definedName>
    <definedName name="_130_ESOL__Grade_Level_9_12" localSheetId="15">'3083'!$A$26</definedName>
    <definedName name="_130_ESOL__Grade_Level_9_12" localSheetId="16">'3345'!$A$26</definedName>
    <definedName name="_130_ESOL__Grade_Level_9_12" localSheetId="17">'3381'!$A$26</definedName>
    <definedName name="_130_ESOL__Grade_Level_9_12" localSheetId="18">'3382'!$A$26</definedName>
    <definedName name="_130_ESOL__Grade_Level_9_12" localSheetId="19">'3391'!$A$26</definedName>
    <definedName name="_130_ESOL__Grade_Level_9_12" localSheetId="20">'3394'!$A$26</definedName>
    <definedName name="_130_ESOL__Grade_Level_9_12" localSheetId="21">'3395'!$A$26</definedName>
    <definedName name="_130_ESOL__Grade_Level_9_12" localSheetId="22">'3396'!$A$26</definedName>
    <definedName name="_130_ESOL__Grade_Level_9_12" localSheetId="23">'3398'!$A$26</definedName>
    <definedName name="_130_ESOL__Grade_Level_9_12" localSheetId="24">'3400'!$A$26</definedName>
    <definedName name="_130_ESOL__Grade_Level_9_12" localSheetId="25">'3401'!$A$26</definedName>
    <definedName name="_130_ESOL__Grade_Level_9_12" localSheetId="26">'3413'!$A$26</definedName>
    <definedName name="_130_ESOL__Grade_Level_9_12" localSheetId="27">'3421'!$A$26</definedName>
    <definedName name="_130_ESOL__Grade_Level_9_12" localSheetId="28">'3431'!$A$26</definedName>
    <definedName name="_130_ESOL__Grade_Level_9_12" localSheetId="29">'3441'!$A$26</definedName>
    <definedName name="_130_ESOL__Grade_Level_9_12" localSheetId="30">'3924'!$A$26</definedName>
    <definedName name="_130_ESOL__Grade_Level_9_12" localSheetId="31">'3941'!$A$26</definedName>
    <definedName name="_130_ESOL__Grade_Level_9_12" localSheetId="32">'3961'!$A$26</definedName>
    <definedName name="_130_ESOL__Grade_Level_9_12" localSheetId="33">'3971'!$A$26</definedName>
    <definedName name="_130_ESOL__Grade_Level_9_12" localSheetId="34">'4001'!$A$26</definedName>
    <definedName name="_130_ESOL__Grade_Level_9_12" localSheetId="35">'4002'!$A$26</definedName>
    <definedName name="_130_ESOL__Grade_Level_9_12" localSheetId="36">'4012'!$A$26</definedName>
    <definedName name="_130_ESOL__Grade_Level_9_12" localSheetId="37">'4013'!$A$26</definedName>
    <definedName name="_130_ESOL__Grade_Level_9_12" localSheetId="38">'4020'!$A$26</definedName>
    <definedName name="_130_ESOL__Grade_Level_9_12" localSheetId="39">'4030'!$A$26</definedName>
    <definedName name="_130_ESOL__Grade_Level_9_12" localSheetId="40">'4031'!$A$26</definedName>
    <definedName name="_130_ESOL__Grade_Level_9_12" localSheetId="41">'4041'!$A$26</definedName>
    <definedName name="_130_ESOL__Grade_Level_9_12" localSheetId="42">'4050'!$A$26</definedName>
    <definedName name="_130_ESOL__Grade_Level_9_12" localSheetId="43">'4051'!$A$26</definedName>
    <definedName name="_130_ESOL__Grade_Level_9_12" localSheetId="44">'4061'!$A$26</definedName>
    <definedName name="_130_ESOL__Grade_Level_9_12" localSheetId="45">'4080'!$A$26</definedName>
    <definedName name="_130_ESOL__Grade_Level_9_12" localSheetId="46">'4081'!$A$26</definedName>
    <definedName name="_130_ESOL__Grade_Level_9_12" localSheetId="47">'4090'!$A$26</definedName>
    <definedName name="_130_ESOL__Grade_Level_9_12" localSheetId="48">'4091'!$A$26</definedName>
    <definedName name="_130_ESOL__Grade_Level_9_12" localSheetId="49">'4100'!$A$26</definedName>
    <definedName name="_130_ESOL__Grade_Level_9_12" localSheetId="50">'4102'!$A$26</definedName>
    <definedName name="_130_ESOL__Grade_Level_9_12" localSheetId="51">'4103'!$A$26</definedName>
    <definedName name="_130_ESOL__Grade_Level_9_12" localSheetId="52">'4111'!$A$26</definedName>
    <definedName name="_130_ESOL__Grade_Level_9_12" localSheetId="53">'4131'!$A$26</definedName>
    <definedName name="_130_ESOL__Grade_Level_9_12">'0040'!$A$26</definedName>
    <definedName name="_130_ESOL__Grade_Level_PK_3" localSheetId="6">'0100'!$A$24</definedName>
    <definedName name="_130_ESOL__Grade_Level_PK_3" localSheetId="7">'1461'!$A$24</definedName>
    <definedName name="_130_ESOL__Grade_Level_PK_3" localSheetId="8">'1571'!$A$24</definedName>
    <definedName name="_130_ESOL__Grade_Level_PK_3" localSheetId="9">'2521'!$A$24</definedName>
    <definedName name="_130_ESOL__Grade_Level_PK_3" localSheetId="10">'2531'!$A$24</definedName>
    <definedName name="_130_ESOL__Grade_Level_PK_3" localSheetId="11">'2791'!$A$24</definedName>
    <definedName name="_130_ESOL__Grade_Level_PK_3" localSheetId="12">'2801'!$A$24</definedName>
    <definedName name="_130_ESOL__Grade_Level_PK_3" localSheetId="13">'2911'!$A$24</definedName>
    <definedName name="_130_ESOL__Grade_Level_PK_3" localSheetId="14">'2941'!$A$24</definedName>
    <definedName name="_130_ESOL__Grade_Level_PK_3" localSheetId="15">'3083'!$A$24</definedName>
    <definedName name="_130_ESOL__Grade_Level_PK_3" localSheetId="16">'3345'!$A$24</definedName>
    <definedName name="_130_ESOL__Grade_Level_PK_3" localSheetId="17">'3381'!$A$24</definedName>
    <definedName name="_130_ESOL__Grade_Level_PK_3" localSheetId="18">'3382'!$A$24</definedName>
    <definedName name="_130_ESOL__Grade_Level_PK_3" localSheetId="19">'3391'!$A$24</definedName>
    <definedName name="_130_ESOL__Grade_Level_PK_3" localSheetId="20">'3394'!$A$24</definedName>
    <definedName name="_130_ESOL__Grade_Level_PK_3" localSheetId="21">'3395'!$A$24</definedName>
    <definedName name="_130_ESOL__Grade_Level_PK_3" localSheetId="22">'3396'!$A$24</definedName>
    <definedName name="_130_ESOL__Grade_Level_PK_3" localSheetId="23">'3398'!$A$24</definedName>
    <definedName name="_130_ESOL__Grade_Level_PK_3" localSheetId="24">'3400'!$A$24</definedName>
    <definedName name="_130_ESOL__Grade_Level_PK_3" localSheetId="25">'3401'!$A$24</definedName>
    <definedName name="_130_ESOL__Grade_Level_PK_3" localSheetId="26">'3413'!$A$24</definedName>
    <definedName name="_130_ESOL__Grade_Level_PK_3" localSheetId="27">'3421'!$A$24</definedName>
    <definedName name="_130_ESOL__Grade_Level_PK_3" localSheetId="28">'3431'!$A$24</definedName>
    <definedName name="_130_ESOL__Grade_Level_PK_3" localSheetId="29">'3441'!$A$24</definedName>
    <definedName name="_130_ESOL__Grade_Level_PK_3" localSheetId="30">'3924'!$A$24</definedName>
    <definedName name="_130_ESOL__Grade_Level_PK_3" localSheetId="31">'3941'!$A$24</definedName>
    <definedName name="_130_ESOL__Grade_Level_PK_3" localSheetId="32">'3961'!$A$24</definedName>
    <definedName name="_130_ESOL__Grade_Level_PK_3" localSheetId="33">'3971'!$A$24</definedName>
    <definedName name="_130_ESOL__Grade_Level_PK_3" localSheetId="34">'4001'!$A$24</definedName>
    <definedName name="_130_ESOL__Grade_Level_PK_3" localSheetId="35">'4002'!$A$24</definedName>
    <definedName name="_130_ESOL__Grade_Level_PK_3" localSheetId="36">'4012'!$A$24</definedName>
    <definedName name="_130_ESOL__Grade_Level_PK_3" localSheetId="37">'4013'!$A$24</definedName>
    <definedName name="_130_ESOL__Grade_Level_PK_3" localSheetId="38">'4020'!$A$24</definedName>
    <definedName name="_130_ESOL__Grade_Level_PK_3" localSheetId="39">'4030'!$A$24</definedName>
    <definedName name="_130_ESOL__Grade_Level_PK_3" localSheetId="40">'4031'!$A$24</definedName>
    <definedName name="_130_ESOL__Grade_Level_PK_3" localSheetId="41">'4041'!$A$24</definedName>
    <definedName name="_130_ESOL__Grade_Level_PK_3" localSheetId="42">'4050'!$A$24</definedName>
    <definedName name="_130_ESOL__Grade_Level_PK_3" localSheetId="43">'4051'!$A$24</definedName>
    <definedName name="_130_ESOL__Grade_Level_PK_3" localSheetId="44">'4061'!$A$24</definedName>
    <definedName name="_130_ESOL__Grade_Level_PK_3" localSheetId="45">'4080'!$A$24</definedName>
    <definedName name="_130_ESOL__Grade_Level_PK_3" localSheetId="46">'4081'!$A$24</definedName>
    <definedName name="_130_ESOL__Grade_Level_PK_3" localSheetId="47">'4090'!$A$24</definedName>
    <definedName name="_130_ESOL__Grade_Level_PK_3" localSheetId="48">'4091'!$A$24</definedName>
    <definedName name="_130_ESOL__Grade_Level_PK_3" localSheetId="49">'4100'!$A$24</definedName>
    <definedName name="_130_ESOL__Grade_Level_PK_3" localSheetId="50">'4102'!$A$24</definedName>
    <definedName name="_130_ESOL__Grade_Level_PK_3" localSheetId="51">'4103'!$A$24</definedName>
    <definedName name="_130_ESOL__Grade_Level_PK_3" localSheetId="52">'4111'!$A$24</definedName>
    <definedName name="_130_ESOL__Grade_Level_PK_3" localSheetId="53">'4131'!$A$24</definedName>
    <definedName name="_130_ESOL__Grade_Level_PK_3">'0040'!$A$24</definedName>
    <definedName name="_1A.___2023_24_FEFP_State_and_Local_Funding" localSheetId="5">'0040'!$A$5</definedName>
    <definedName name="_1A.___2023_24_FEFP_State_and_Local_Funding" localSheetId="6">'0100'!$A$5</definedName>
    <definedName name="_1A.___2023_24_FEFP_State_and_Local_Funding" localSheetId="7">'1461'!$A$5</definedName>
    <definedName name="_1A.___2023_24_FEFP_State_and_Local_Funding" localSheetId="8">'1571'!$A$5</definedName>
    <definedName name="_1A.___2023_24_FEFP_State_and_Local_Funding" localSheetId="9">'2521'!$A$5</definedName>
    <definedName name="_1A.___2023_24_FEFP_State_and_Local_Funding" localSheetId="10">'2531'!$A$5</definedName>
    <definedName name="_1A.___2023_24_FEFP_State_and_Local_Funding" localSheetId="11">'2791'!$A$5</definedName>
    <definedName name="_1A.___2023_24_FEFP_State_and_Local_Funding" localSheetId="12">'2801'!$A$5</definedName>
    <definedName name="_1A.___2023_24_FEFP_State_and_Local_Funding" localSheetId="13">'2911'!$A$5</definedName>
    <definedName name="_1A.___2023_24_FEFP_State_and_Local_Funding" localSheetId="14">'2941'!$A$5</definedName>
    <definedName name="_1A.___2023_24_FEFP_State_and_Local_Funding" localSheetId="15">'3083'!$A$5</definedName>
    <definedName name="_1A.___2023_24_FEFP_State_and_Local_Funding" localSheetId="16">'3345'!$A$5</definedName>
    <definedName name="_1A.___2023_24_FEFP_State_and_Local_Funding" localSheetId="17">'3381'!$A$5</definedName>
    <definedName name="_1A.___2023_24_FEFP_State_and_Local_Funding" localSheetId="18">'3382'!$A$5</definedName>
    <definedName name="_1A.___2023_24_FEFP_State_and_Local_Funding" localSheetId="19">'3391'!$A$5</definedName>
    <definedName name="_1A.___2023_24_FEFP_State_and_Local_Funding" localSheetId="20">'3394'!$A$5</definedName>
    <definedName name="_1A.___2023_24_FEFP_State_and_Local_Funding" localSheetId="21">'3395'!$A$5</definedName>
    <definedName name="_1A.___2023_24_FEFP_State_and_Local_Funding" localSheetId="22">'3396'!$A$5</definedName>
    <definedName name="_1A.___2023_24_FEFP_State_and_Local_Funding" localSheetId="23">'3398'!$A$5</definedName>
    <definedName name="_1A.___2023_24_FEFP_State_and_Local_Funding" localSheetId="24">'3400'!$A$5</definedName>
    <definedName name="_1A.___2023_24_FEFP_State_and_Local_Funding" localSheetId="25">'3401'!$A$5</definedName>
    <definedName name="_1A.___2023_24_FEFP_State_and_Local_Funding" localSheetId="26">'3413'!$A$5</definedName>
    <definedName name="_1A.___2023_24_FEFP_State_and_Local_Funding" localSheetId="27">'3421'!$A$5</definedName>
    <definedName name="_1A.___2023_24_FEFP_State_and_Local_Funding" localSheetId="28">'3431'!$A$5</definedName>
    <definedName name="_1A.___2023_24_FEFP_State_and_Local_Funding" localSheetId="29">'3441'!$A$5</definedName>
    <definedName name="_1A.___2023_24_FEFP_State_and_Local_Funding" localSheetId="30">'3924'!$A$5</definedName>
    <definedName name="_1A.___2023_24_FEFP_State_and_Local_Funding" localSheetId="31">'3941'!$A$5</definedName>
    <definedName name="_1A.___2023_24_FEFP_State_and_Local_Funding" localSheetId="32">'3961'!$A$5</definedName>
    <definedName name="_1A.___2023_24_FEFP_State_and_Local_Funding" localSheetId="33">'3971'!$A$5</definedName>
    <definedName name="_1A.___2023_24_FEFP_State_and_Local_Funding" localSheetId="34">'4001'!$A$5</definedName>
    <definedName name="_1A.___2023_24_FEFP_State_and_Local_Funding" localSheetId="35">'4002'!$A$5</definedName>
    <definedName name="_1A.___2023_24_FEFP_State_and_Local_Funding" localSheetId="36">'4012'!$A$5</definedName>
    <definedName name="_1A.___2023_24_FEFP_State_and_Local_Funding" localSheetId="37">'4013'!$A$5</definedName>
    <definedName name="_1A.___2023_24_FEFP_State_and_Local_Funding" localSheetId="38">'4020'!$A$5</definedName>
    <definedName name="_1A.___2023_24_FEFP_State_and_Local_Funding" localSheetId="39">'4030'!$A$5</definedName>
    <definedName name="_1A.___2023_24_FEFP_State_and_Local_Funding" localSheetId="40">'4031'!$A$5</definedName>
    <definedName name="_1A.___2023_24_FEFP_State_and_Local_Funding" localSheetId="41">'4041'!$A$5</definedName>
    <definedName name="_1A.___2023_24_FEFP_State_and_Local_Funding" localSheetId="42">'4050'!$A$5</definedName>
    <definedName name="_1A.___2023_24_FEFP_State_and_Local_Funding" localSheetId="43">'4051'!$A$5</definedName>
    <definedName name="_1A.___2023_24_FEFP_State_and_Local_Funding" localSheetId="44">'4061'!$A$5</definedName>
    <definedName name="_1A.___2023_24_FEFP_State_and_Local_Funding" localSheetId="45">'4080'!$A$5</definedName>
    <definedName name="_1A.___2023_24_FEFP_State_and_Local_Funding" localSheetId="46">'4081'!$A$5</definedName>
    <definedName name="_1A.___2023_24_FEFP_State_and_Local_Funding" localSheetId="47">'4090'!$A$5</definedName>
    <definedName name="_1A.___2023_24_FEFP_State_and_Local_Funding" localSheetId="48">'4091'!$A$5</definedName>
    <definedName name="_1A.___2023_24_FEFP_State_and_Local_Funding" localSheetId="49">'4100'!$A$5</definedName>
    <definedName name="_1A.___2023_24_FEFP_State_and_Local_Funding" localSheetId="50">'4102'!$A$5</definedName>
    <definedName name="_1A.___2023_24_FEFP_State_and_Local_Funding" localSheetId="51">'4103'!$A$5</definedName>
    <definedName name="_1A.___2023_24_FEFP_State_and_Local_Funding" localSheetId="52">'4111'!$A$5</definedName>
    <definedName name="_1A.___2023_24_FEFP_State_and_Local_Funding" localSheetId="53">'4131'!$A$5</definedName>
    <definedName name="_2" localSheetId="6">'0100'!$E$11</definedName>
    <definedName name="_2" localSheetId="7">'1461'!$E$11</definedName>
    <definedName name="_2" localSheetId="8">'1571'!$E$11</definedName>
    <definedName name="_2" localSheetId="9">'2521'!$E$11</definedName>
    <definedName name="_2" localSheetId="10">'2531'!$E$11</definedName>
    <definedName name="_2" localSheetId="11">'2791'!$E$11</definedName>
    <definedName name="_2" localSheetId="12">'2801'!$E$11</definedName>
    <definedName name="_2" localSheetId="13">'2911'!$E$11</definedName>
    <definedName name="_2" localSheetId="14">'2941'!$E$11</definedName>
    <definedName name="_2" localSheetId="15">'3083'!$E$11</definedName>
    <definedName name="_2" localSheetId="16">'3345'!$E$11</definedName>
    <definedName name="_2" localSheetId="17">'3381'!$E$11</definedName>
    <definedName name="_2" localSheetId="18">'3382'!$E$11</definedName>
    <definedName name="_2" localSheetId="19">'3391'!$E$11</definedName>
    <definedName name="_2" localSheetId="20">'3394'!$E$11</definedName>
    <definedName name="_2" localSheetId="21">'3395'!$E$11</definedName>
    <definedName name="_2" localSheetId="22">'3396'!$E$11</definedName>
    <definedName name="_2" localSheetId="23">'3398'!$E$11</definedName>
    <definedName name="_2" localSheetId="24">'3400'!$E$11</definedName>
    <definedName name="_2" localSheetId="25">'3401'!$E$11</definedName>
    <definedName name="_2" localSheetId="26">'3413'!$E$11</definedName>
    <definedName name="_2" localSheetId="27">'3421'!$E$11</definedName>
    <definedName name="_2" localSheetId="28">'3431'!$E$11</definedName>
    <definedName name="_2" localSheetId="29">'3441'!$E$11</definedName>
    <definedName name="_2" localSheetId="30">'3924'!$E$11</definedName>
    <definedName name="_2" localSheetId="31">'3941'!$E$11</definedName>
    <definedName name="_2" localSheetId="32">'3961'!$E$11</definedName>
    <definedName name="_2" localSheetId="33">'3971'!$E$11</definedName>
    <definedName name="_2" localSheetId="34">'4001'!$E$11</definedName>
    <definedName name="_2" localSheetId="35">'4002'!$E$11</definedName>
    <definedName name="_2" localSheetId="36">'4012'!$E$11</definedName>
    <definedName name="_2" localSheetId="37">'4013'!$E$11</definedName>
    <definedName name="_2" localSheetId="38">'4020'!$E$11</definedName>
    <definedName name="_2" localSheetId="39">'4030'!$E$11</definedName>
    <definedName name="_2" localSheetId="40">'4031'!$E$11</definedName>
    <definedName name="_2" localSheetId="41">'4041'!$E$11</definedName>
    <definedName name="_2" localSheetId="42">'4050'!$E$11</definedName>
    <definedName name="_2" localSheetId="43">'4051'!$E$11</definedName>
    <definedName name="_2" localSheetId="44">'4061'!$E$11</definedName>
    <definedName name="_2" localSheetId="45">'4080'!$E$11</definedName>
    <definedName name="_2" localSheetId="46">'4081'!$E$11</definedName>
    <definedName name="_2" localSheetId="47">'4090'!$E$11</definedName>
    <definedName name="_2" localSheetId="48">'4091'!$E$11</definedName>
    <definedName name="_2" localSheetId="49">'4100'!$E$11</definedName>
    <definedName name="_2" localSheetId="50">'4102'!$E$11</definedName>
    <definedName name="_2" localSheetId="51">'4103'!$E$11</definedName>
    <definedName name="_2" localSheetId="52">'4111'!$E$11</definedName>
    <definedName name="_2" localSheetId="53">'4131'!$E$11</definedName>
    <definedName name="_2">'0040'!$E$11</definedName>
    <definedName name="_2.__ESE_Guaranteed_Allocation" localSheetId="6">'0100'!#REF!</definedName>
    <definedName name="_2.__ESE_Guaranteed_Allocation" localSheetId="7">'1461'!#REF!</definedName>
    <definedName name="_2.__ESE_Guaranteed_Allocation" localSheetId="8">'1571'!#REF!</definedName>
    <definedName name="_2.__ESE_Guaranteed_Allocation" localSheetId="9">'2521'!#REF!</definedName>
    <definedName name="_2.__ESE_Guaranteed_Allocation" localSheetId="10">'2531'!#REF!</definedName>
    <definedName name="_2.__ESE_Guaranteed_Allocation" localSheetId="11">'2791'!#REF!</definedName>
    <definedName name="_2.__ESE_Guaranteed_Allocation" localSheetId="12">'2801'!#REF!</definedName>
    <definedName name="_2.__ESE_Guaranteed_Allocation" localSheetId="13">'2911'!#REF!</definedName>
    <definedName name="_2.__ESE_Guaranteed_Allocation" localSheetId="14">'2941'!#REF!</definedName>
    <definedName name="_2.__ESE_Guaranteed_Allocation" localSheetId="15">'3083'!#REF!</definedName>
    <definedName name="_2.__ESE_Guaranteed_Allocation" localSheetId="16">'3345'!#REF!</definedName>
    <definedName name="_2.__ESE_Guaranteed_Allocation" localSheetId="17">'3381'!#REF!</definedName>
    <definedName name="_2.__ESE_Guaranteed_Allocation" localSheetId="18">'3382'!#REF!</definedName>
    <definedName name="_2.__ESE_Guaranteed_Allocation" localSheetId="19">'3391'!#REF!</definedName>
    <definedName name="_2.__ESE_Guaranteed_Allocation" localSheetId="20">'3394'!#REF!</definedName>
    <definedName name="_2.__ESE_Guaranteed_Allocation" localSheetId="21">'3395'!#REF!</definedName>
    <definedName name="_2.__ESE_Guaranteed_Allocation" localSheetId="22">'3396'!#REF!</definedName>
    <definedName name="_2.__ESE_Guaranteed_Allocation" localSheetId="23">'3398'!#REF!</definedName>
    <definedName name="_2.__ESE_Guaranteed_Allocation" localSheetId="24">'3400'!#REF!</definedName>
    <definedName name="_2.__ESE_Guaranteed_Allocation" localSheetId="25">'3401'!#REF!</definedName>
    <definedName name="_2.__ESE_Guaranteed_Allocation" localSheetId="26">'3413'!#REF!</definedName>
    <definedName name="_2.__ESE_Guaranteed_Allocation" localSheetId="27">'3421'!#REF!</definedName>
    <definedName name="_2.__ESE_Guaranteed_Allocation" localSheetId="28">'3431'!#REF!</definedName>
    <definedName name="_2.__ESE_Guaranteed_Allocation" localSheetId="29">'3441'!#REF!</definedName>
    <definedName name="_2.__ESE_Guaranteed_Allocation" localSheetId="30">'3924'!#REF!</definedName>
    <definedName name="_2.__ESE_Guaranteed_Allocation" localSheetId="31">'3941'!#REF!</definedName>
    <definedName name="_2.__ESE_Guaranteed_Allocation" localSheetId="32">'3961'!#REF!</definedName>
    <definedName name="_2.__ESE_Guaranteed_Allocation" localSheetId="33">'3971'!#REF!</definedName>
    <definedName name="_2.__ESE_Guaranteed_Allocation" localSheetId="34">'4001'!#REF!</definedName>
    <definedName name="_2.__ESE_Guaranteed_Allocation" localSheetId="35">'4002'!#REF!</definedName>
    <definedName name="_2.__ESE_Guaranteed_Allocation" localSheetId="36">'4012'!#REF!</definedName>
    <definedName name="_2.__ESE_Guaranteed_Allocation" localSheetId="37">'4013'!#REF!</definedName>
    <definedName name="_2.__ESE_Guaranteed_Allocation" localSheetId="38">'4020'!#REF!</definedName>
    <definedName name="_2.__ESE_Guaranteed_Allocation" localSheetId="39">'4030'!#REF!</definedName>
    <definedName name="_2.__ESE_Guaranteed_Allocation" localSheetId="40">'4031'!#REF!</definedName>
    <definedName name="_2.__ESE_Guaranteed_Allocation" localSheetId="41">'4041'!#REF!</definedName>
    <definedName name="_2.__ESE_Guaranteed_Allocation" localSheetId="42">'4050'!#REF!</definedName>
    <definedName name="_2.__ESE_Guaranteed_Allocation" localSheetId="43">'4051'!#REF!</definedName>
    <definedName name="_2.__ESE_Guaranteed_Allocation" localSheetId="44">'4061'!#REF!</definedName>
    <definedName name="_2.__ESE_Guaranteed_Allocation" localSheetId="45">'4080'!#REF!</definedName>
    <definedName name="_2.__ESE_Guaranteed_Allocation" localSheetId="46">'4081'!#REF!</definedName>
    <definedName name="_2.__ESE_Guaranteed_Allocation" localSheetId="47">'4090'!#REF!</definedName>
    <definedName name="_2.__ESE_Guaranteed_Allocation" localSheetId="48">'4091'!#REF!</definedName>
    <definedName name="_2.__ESE_Guaranteed_Allocation" localSheetId="49">'4100'!#REF!</definedName>
    <definedName name="_2.__ESE_Guaranteed_Allocation" localSheetId="50">'4102'!#REF!</definedName>
    <definedName name="_2.__ESE_Guaranteed_Allocation" localSheetId="51">'4103'!#REF!</definedName>
    <definedName name="_2.__ESE_Guaranteed_Allocation" localSheetId="52">'4111'!#REF!</definedName>
    <definedName name="_2.__ESE_Guaranteed_Allocation" localSheetId="53">'4131'!#REF!</definedName>
    <definedName name="_2.__ESE_Guaranteed_Allocation">'0040'!#REF!</definedName>
    <definedName name="_2000_01_District_Cost_Differential">#REF!</definedName>
    <definedName name="_2010_11_Base_Funding_WFTE_x_BSA_x_DCD" localSheetId="6">'0100'!$J$10</definedName>
    <definedName name="_2010_11_Base_Funding_WFTE_x_BSA_x_DCD" localSheetId="7">'1461'!$J$10</definedName>
    <definedName name="_2010_11_Base_Funding_WFTE_x_BSA_x_DCD" localSheetId="8">'1571'!$J$10</definedName>
    <definedName name="_2010_11_Base_Funding_WFTE_x_BSA_x_DCD" localSheetId="9">'2521'!$J$10</definedName>
    <definedName name="_2010_11_Base_Funding_WFTE_x_BSA_x_DCD" localSheetId="10">'2531'!$J$10</definedName>
    <definedName name="_2010_11_Base_Funding_WFTE_x_BSA_x_DCD" localSheetId="11">'2791'!$J$10</definedName>
    <definedName name="_2010_11_Base_Funding_WFTE_x_BSA_x_DCD" localSheetId="12">'2801'!$J$10</definedName>
    <definedName name="_2010_11_Base_Funding_WFTE_x_BSA_x_DCD" localSheetId="13">'2911'!$J$10</definedName>
    <definedName name="_2010_11_Base_Funding_WFTE_x_BSA_x_DCD" localSheetId="14">'2941'!$J$10</definedName>
    <definedName name="_2010_11_Base_Funding_WFTE_x_BSA_x_DCD" localSheetId="15">'3083'!$J$10</definedName>
    <definedName name="_2010_11_Base_Funding_WFTE_x_BSA_x_DCD" localSheetId="16">'3345'!$J$10</definedName>
    <definedName name="_2010_11_Base_Funding_WFTE_x_BSA_x_DCD" localSheetId="17">'3381'!$J$10</definedName>
    <definedName name="_2010_11_Base_Funding_WFTE_x_BSA_x_DCD" localSheetId="18">'3382'!$J$10</definedName>
    <definedName name="_2010_11_Base_Funding_WFTE_x_BSA_x_DCD" localSheetId="19">'3391'!$J$10</definedName>
    <definedName name="_2010_11_Base_Funding_WFTE_x_BSA_x_DCD" localSheetId="20">'3394'!$J$10</definedName>
    <definedName name="_2010_11_Base_Funding_WFTE_x_BSA_x_DCD" localSheetId="21">'3395'!$J$10</definedName>
    <definedName name="_2010_11_Base_Funding_WFTE_x_BSA_x_DCD" localSheetId="22">'3396'!$J$10</definedName>
    <definedName name="_2010_11_Base_Funding_WFTE_x_BSA_x_DCD" localSheetId="23">'3398'!$J$10</definedName>
    <definedName name="_2010_11_Base_Funding_WFTE_x_BSA_x_DCD" localSheetId="24">'3400'!$J$10</definedName>
    <definedName name="_2010_11_Base_Funding_WFTE_x_BSA_x_DCD" localSheetId="25">'3401'!$J$10</definedName>
    <definedName name="_2010_11_Base_Funding_WFTE_x_BSA_x_DCD" localSheetId="26">'3413'!$J$10</definedName>
    <definedName name="_2010_11_Base_Funding_WFTE_x_BSA_x_DCD" localSheetId="27">'3421'!$J$10</definedName>
    <definedName name="_2010_11_Base_Funding_WFTE_x_BSA_x_DCD" localSheetId="28">'3431'!$J$10</definedName>
    <definedName name="_2010_11_Base_Funding_WFTE_x_BSA_x_DCD" localSheetId="29">'3441'!$J$10</definedName>
    <definedName name="_2010_11_Base_Funding_WFTE_x_BSA_x_DCD" localSheetId="30">'3924'!$J$10</definedName>
    <definedName name="_2010_11_Base_Funding_WFTE_x_BSA_x_DCD" localSheetId="31">'3941'!$J$10</definedName>
    <definedName name="_2010_11_Base_Funding_WFTE_x_BSA_x_DCD" localSheetId="32">'3961'!$J$10</definedName>
    <definedName name="_2010_11_Base_Funding_WFTE_x_BSA_x_DCD" localSheetId="33">'3971'!$J$10</definedName>
    <definedName name="_2010_11_Base_Funding_WFTE_x_BSA_x_DCD" localSheetId="34">'4001'!$J$10</definedName>
    <definedName name="_2010_11_Base_Funding_WFTE_x_BSA_x_DCD" localSheetId="35">'4002'!$J$10</definedName>
    <definedName name="_2010_11_Base_Funding_WFTE_x_BSA_x_DCD" localSheetId="36">'4012'!$J$10</definedName>
    <definedName name="_2010_11_Base_Funding_WFTE_x_BSA_x_DCD" localSheetId="37">'4013'!$J$10</definedName>
    <definedName name="_2010_11_Base_Funding_WFTE_x_BSA_x_DCD" localSheetId="38">'4020'!$J$10</definedName>
    <definedName name="_2010_11_Base_Funding_WFTE_x_BSA_x_DCD" localSheetId="39">'4030'!$J$10</definedName>
    <definedName name="_2010_11_Base_Funding_WFTE_x_BSA_x_DCD" localSheetId="40">'4031'!$J$10</definedName>
    <definedName name="_2010_11_Base_Funding_WFTE_x_BSA_x_DCD" localSheetId="41">'4041'!$J$10</definedName>
    <definedName name="_2010_11_Base_Funding_WFTE_x_BSA_x_DCD" localSheetId="42">'4050'!$J$10</definedName>
    <definedName name="_2010_11_Base_Funding_WFTE_x_BSA_x_DCD" localSheetId="43">'4051'!$J$10</definedName>
    <definedName name="_2010_11_Base_Funding_WFTE_x_BSA_x_DCD" localSheetId="44">'4061'!$J$10</definedName>
    <definedName name="_2010_11_Base_Funding_WFTE_x_BSA_x_DCD" localSheetId="45">'4080'!$J$10</definedName>
    <definedName name="_2010_11_Base_Funding_WFTE_x_BSA_x_DCD" localSheetId="46">'4081'!$J$10</definedName>
    <definedName name="_2010_11_Base_Funding_WFTE_x_BSA_x_DCD" localSheetId="47">'4090'!$J$10</definedName>
    <definedName name="_2010_11_Base_Funding_WFTE_x_BSA_x_DCD" localSheetId="48">'4091'!$J$10</definedName>
    <definedName name="_2010_11_Base_Funding_WFTE_x_BSA_x_DCD" localSheetId="49">'4100'!$J$10</definedName>
    <definedName name="_2010_11_Base_Funding_WFTE_x_BSA_x_DCD" localSheetId="50">'4102'!$J$10</definedName>
    <definedName name="_2010_11_Base_Funding_WFTE_x_BSA_x_DCD" localSheetId="51">'4103'!$J$10</definedName>
    <definedName name="_2010_11_Base_Funding_WFTE_x_BSA_x_DCD" localSheetId="52">'4111'!$J$10</definedName>
    <definedName name="_2010_11_Base_Funding_WFTE_x_BSA_x_DCD" localSheetId="53">'4131'!$J$10</definedName>
    <definedName name="_2010_11_Base_Funding_WFTE_x_BSA_x_DCD">'0040'!$J$10</definedName>
    <definedName name="_254_ESE_Level_4__Grade_Level_4_8" localSheetId="6">'0100'!$A$19</definedName>
    <definedName name="_254_ESE_Level_4__Grade_Level_4_8" localSheetId="7">'1461'!$A$19</definedName>
    <definedName name="_254_ESE_Level_4__Grade_Level_4_8" localSheetId="8">'1571'!$A$19</definedName>
    <definedName name="_254_ESE_Level_4__Grade_Level_4_8" localSheetId="9">'2521'!$A$19</definedName>
    <definedName name="_254_ESE_Level_4__Grade_Level_4_8" localSheetId="10">'2531'!$A$19</definedName>
    <definedName name="_254_ESE_Level_4__Grade_Level_4_8" localSheetId="11">'2791'!$A$19</definedName>
    <definedName name="_254_ESE_Level_4__Grade_Level_4_8" localSheetId="12">'2801'!$A$19</definedName>
    <definedName name="_254_ESE_Level_4__Grade_Level_4_8" localSheetId="13">'2911'!$A$19</definedName>
    <definedName name="_254_ESE_Level_4__Grade_Level_4_8" localSheetId="14">'2941'!$A$19</definedName>
    <definedName name="_254_ESE_Level_4__Grade_Level_4_8" localSheetId="15">'3083'!$A$19</definedName>
    <definedName name="_254_ESE_Level_4__Grade_Level_4_8" localSheetId="16">'3345'!$A$19</definedName>
    <definedName name="_254_ESE_Level_4__Grade_Level_4_8" localSheetId="17">'3381'!$A$19</definedName>
    <definedName name="_254_ESE_Level_4__Grade_Level_4_8" localSheetId="18">'3382'!$A$19</definedName>
    <definedName name="_254_ESE_Level_4__Grade_Level_4_8" localSheetId="19">'3391'!$A$19</definedName>
    <definedName name="_254_ESE_Level_4__Grade_Level_4_8" localSheetId="20">'3394'!$A$19</definedName>
    <definedName name="_254_ESE_Level_4__Grade_Level_4_8" localSheetId="21">'3395'!$A$19</definedName>
    <definedName name="_254_ESE_Level_4__Grade_Level_4_8" localSheetId="22">'3396'!$A$19</definedName>
    <definedName name="_254_ESE_Level_4__Grade_Level_4_8" localSheetId="23">'3398'!$A$19</definedName>
    <definedName name="_254_ESE_Level_4__Grade_Level_4_8" localSheetId="24">'3400'!$A$19</definedName>
    <definedName name="_254_ESE_Level_4__Grade_Level_4_8" localSheetId="25">'3401'!$A$19</definedName>
    <definedName name="_254_ESE_Level_4__Grade_Level_4_8" localSheetId="26">'3413'!$A$19</definedName>
    <definedName name="_254_ESE_Level_4__Grade_Level_4_8" localSheetId="27">'3421'!$A$19</definedName>
    <definedName name="_254_ESE_Level_4__Grade_Level_4_8" localSheetId="28">'3431'!$A$19</definedName>
    <definedName name="_254_ESE_Level_4__Grade_Level_4_8" localSheetId="29">'3441'!$A$19</definedName>
    <definedName name="_254_ESE_Level_4__Grade_Level_4_8" localSheetId="30">'3924'!$A$19</definedName>
    <definedName name="_254_ESE_Level_4__Grade_Level_4_8" localSheetId="31">'3941'!$A$19</definedName>
    <definedName name="_254_ESE_Level_4__Grade_Level_4_8" localSheetId="32">'3961'!$A$19</definedName>
    <definedName name="_254_ESE_Level_4__Grade_Level_4_8" localSheetId="33">'3971'!$A$19</definedName>
    <definedName name="_254_ESE_Level_4__Grade_Level_4_8" localSheetId="34">'4001'!$A$19</definedName>
    <definedName name="_254_ESE_Level_4__Grade_Level_4_8" localSheetId="35">'4002'!$A$19</definedName>
    <definedName name="_254_ESE_Level_4__Grade_Level_4_8" localSheetId="36">'4012'!$A$19</definedName>
    <definedName name="_254_ESE_Level_4__Grade_Level_4_8" localSheetId="37">'4013'!$A$19</definedName>
    <definedName name="_254_ESE_Level_4__Grade_Level_4_8" localSheetId="38">'4020'!$A$19</definedName>
    <definedName name="_254_ESE_Level_4__Grade_Level_4_8" localSheetId="39">'4030'!$A$19</definedName>
    <definedName name="_254_ESE_Level_4__Grade_Level_4_8" localSheetId="40">'4031'!$A$19</definedName>
    <definedName name="_254_ESE_Level_4__Grade_Level_4_8" localSheetId="41">'4041'!$A$19</definedName>
    <definedName name="_254_ESE_Level_4__Grade_Level_4_8" localSheetId="42">'4050'!$A$19</definedName>
    <definedName name="_254_ESE_Level_4__Grade_Level_4_8" localSheetId="43">'4051'!$A$19</definedName>
    <definedName name="_254_ESE_Level_4__Grade_Level_4_8" localSheetId="44">'4061'!$A$19</definedName>
    <definedName name="_254_ESE_Level_4__Grade_Level_4_8" localSheetId="45">'4080'!$A$19</definedName>
    <definedName name="_254_ESE_Level_4__Grade_Level_4_8" localSheetId="46">'4081'!$A$19</definedName>
    <definedName name="_254_ESE_Level_4__Grade_Level_4_8" localSheetId="47">'4090'!$A$19</definedName>
    <definedName name="_254_ESE_Level_4__Grade_Level_4_8" localSheetId="48">'4091'!$A$19</definedName>
    <definedName name="_254_ESE_Level_4__Grade_Level_4_8" localSheetId="49">'4100'!$A$19</definedName>
    <definedName name="_254_ESE_Level_4__Grade_Level_4_8" localSheetId="50">'4102'!$A$19</definedName>
    <definedName name="_254_ESE_Level_4__Grade_Level_4_8" localSheetId="51">'4103'!$A$19</definedName>
    <definedName name="_254_ESE_Level_4__Grade_Level_4_8" localSheetId="52">'4111'!$A$19</definedName>
    <definedName name="_254_ESE_Level_4__Grade_Level_4_8" localSheetId="53">'4131'!$A$19</definedName>
    <definedName name="_254_ESE_Level_4__Grade_Level_4_8">'0040'!$A$19</definedName>
    <definedName name="_254_ESE_Level_4__Grade_Level_9_12" localSheetId="6">'0100'!$A$20</definedName>
    <definedName name="_254_ESE_Level_4__Grade_Level_9_12" localSheetId="7">'1461'!$A$20</definedName>
    <definedName name="_254_ESE_Level_4__Grade_Level_9_12" localSheetId="8">'1571'!$A$20</definedName>
    <definedName name="_254_ESE_Level_4__Grade_Level_9_12" localSheetId="9">'2521'!$A$20</definedName>
    <definedName name="_254_ESE_Level_4__Grade_Level_9_12" localSheetId="10">'2531'!$A$20</definedName>
    <definedName name="_254_ESE_Level_4__Grade_Level_9_12" localSheetId="11">'2791'!$A$20</definedName>
    <definedName name="_254_ESE_Level_4__Grade_Level_9_12" localSheetId="12">'2801'!$A$20</definedName>
    <definedName name="_254_ESE_Level_4__Grade_Level_9_12" localSheetId="13">'2911'!$A$20</definedName>
    <definedName name="_254_ESE_Level_4__Grade_Level_9_12" localSheetId="14">'2941'!$A$20</definedName>
    <definedName name="_254_ESE_Level_4__Grade_Level_9_12" localSheetId="15">'3083'!$A$20</definedName>
    <definedName name="_254_ESE_Level_4__Grade_Level_9_12" localSheetId="16">'3345'!$A$20</definedName>
    <definedName name="_254_ESE_Level_4__Grade_Level_9_12" localSheetId="17">'3381'!$A$20</definedName>
    <definedName name="_254_ESE_Level_4__Grade_Level_9_12" localSheetId="18">'3382'!$A$20</definedName>
    <definedName name="_254_ESE_Level_4__Grade_Level_9_12" localSheetId="19">'3391'!$A$20</definedName>
    <definedName name="_254_ESE_Level_4__Grade_Level_9_12" localSheetId="20">'3394'!$A$20</definedName>
    <definedName name="_254_ESE_Level_4__Grade_Level_9_12" localSheetId="21">'3395'!$A$20</definedName>
    <definedName name="_254_ESE_Level_4__Grade_Level_9_12" localSheetId="22">'3396'!$A$20</definedName>
    <definedName name="_254_ESE_Level_4__Grade_Level_9_12" localSheetId="23">'3398'!$A$20</definedName>
    <definedName name="_254_ESE_Level_4__Grade_Level_9_12" localSheetId="24">'3400'!$A$20</definedName>
    <definedName name="_254_ESE_Level_4__Grade_Level_9_12" localSheetId="25">'3401'!$A$20</definedName>
    <definedName name="_254_ESE_Level_4__Grade_Level_9_12" localSheetId="26">'3413'!$A$20</definedName>
    <definedName name="_254_ESE_Level_4__Grade_Level_9_12" localSheetId="27">'3421'!$A$20</definedName>
    <definedName name="_254_ESE_Level_4__Grade_Level_9_12" localSheetId="28">'3431'!$A$20</definedName>
    <definedName name="_254_ESE_Level_4__Grade_Level_9_12" localSheetId="29">'3441'!$A$20</definedName>
    <definedName name="_254_ESE_Level_4__Grade_Level_9_12" localSheetId="30">'3924'!$A$20</definedName>
    <definedName name="_254_ESE_Level_4__Grade_Level_9_12" localSheetId="31">'3941'!$A$20</definedName>
    <definedName name="_254_ESE_Level_4__Grade_Level_9_12" localSheetId="32">'3961'!$A$20</definedName>
    <definedName name="_254_ESE_Level_4__Grade_Level_9_12" localSheetId="33">'3971'!$A$20</definedName>
    <definedName name="_254_ESE_Level_4__Grade_Level_9_12" localSheetId="34">'4001'!$A$20</definedName>
    <definedName name="_254_ESE_Level_4__Grade_Level_9_12" localSheetId="35">'4002'!$A$20</definedName>
    <definedName name="_254_ESE_Level_4__Grade_Level_9_12" localSheetId="36">'4012'!$A$20</definedName>
    <definedName name="_254_ESE_Level_4__Grade_Level_9_12" localSheetId="37">'4013'!$A$20</definedName>
    <definedName name="_254_ESE_Level_4__Grade_Level_9_12" localSheetId="38">'4020'!$A$20</definedName>
    <definedName name="_254_ESE_Level_4__Grade_Level_9_12" localSheetId="39">'4030'!$A$20</definedName>
    <definedName name="_254_ESE_Level_4__Grade_Level_9_12" localSheetId="40">'4031'!$A$20</definedName>
    <definedName name="_254_ESE_Level_4__Grade_Level_9_12" localSheetId="41">'4041'!$A$20</definedName>
    <definedName name="_254_ESE_Level_4__Grade_Level_9_12" localSheetId="42">'4050'!$A$20</definedName>
    <definedName name="_254_ESE_Level_4__Grade_Level_9_12" localSheetId="43">'4051'!$A$20</definedName>
    <definedName name="_254_ESE_Level_4__Grade_Level_9_12" localSheetId="44">'4061'!$A$20</definedName>
    <definedName name="_254_ESE_Level_4__Grade_Level_9_12" localSheetId="45">'4080'!$A$20</definedName>
    <definedName name="_254_ESE_Level_4__Grade_Level_9_12" localSheetId="46">'4081'!$A$20</definedName>
    <definedName name="_254_ESE_Level_4__Grade_Level_9_12" localSheetId="47">'4090'!$A$20</definedName>
    <definedName name="_254_ESE_Level_4__Grade_Level_9_12" localSheetId="48">'4091'!$A$20</definedName>
    <definedName name="_254_ESE_Level_4__Grade_Level_9_12" localSheetId="49">'4100'!$A$20</definedName>
    <definedName name="_254_ESE_Level_4__Grade_Level_9_12" localSheetId="50">'4102'!$A$20</definedName>
    <definedName name="_254_ESE_Level_4__Grade_Level_9_12" localSheetId="51">'4103'!$A$20</definedName>
    <definedName name="_254_ESE_Level_4__Grade_Level_9_12" localSheetId="52">'4111'!$A$20</definedName>
    <definedName name="_254_ESE_Level_4__Grade_Level_9_12" localSheetId="53">'4131'!$A$20</definedName>
    <definedName name="_254_ESE_Level_4__Grade_Level_9_12">'0040'!$A$20</definedName>
    <definedName name="_254_ESE_Level_4__Grade_Level_PK_3" localSheetId="6">'0100'!$A$18</definedName>
    <definedName name="_254_ESE_Level_4__Grade_Level_PK_3" localSheetId="7">'1461'!$A$18</definedName>
    <definedName name="_254_ESE_Level_4__Grade_Level_PK_3" localSheetId="8">'1571'!$A$18</definedName>
    <definedName name="_254_ESE_Level_4__Grade_Level_PK_3" localSheetId="9">'2521'!$A$18</definedName>
    <definedName name="_254_ESE_Level_4__Grade_Level_PK_3" localSheetId="10">'2531'!$A$18</definedName>
    <definedName name="_254_ESE_Level_4__Grade_Level_PK_3" localSheetId="11">'2791'!$A$18</definedName>
    <definedName name="_254_ESE_Level_4__Grade_Level_PK_3" localSheetId="12">'2801'!$A$18</definedName>
    <definedName name="_254_ESE_Level_4__Grade_Level_PK_3" localSheetId="13">'2911'!$A$18</definedName>
    <definedName name="_254_ESE_Level_4__Grade_Level_PK_3" localSheetId="14">'2941'!$A$18</definedName>
    <definedName name="_254_ESE_Level_4__Grade_Level_PK_3" localSheetId="15">'3083'!$A$18</definedName>
    <definedName name="_254_ESE_Level_4__Grade_Level_PK_3" localSheetId="16">'3345'!$A$18</definedName>
    <definedName name="_254_ESE_Level_4__Grade_Level_PK_3" localSheetId="17">'3381'!$A$18</definedName>
    <definedName name="_254_ESE_Level_4__Grade_Level_PK_3" localSheetId="18">'3382'!$A$18</definedName>
    <definedName name="_254_ESE_Level_4__Grade_Level_PK_3" localSheetId="19">'3391'!$A$18</definedName>
    <definedName name="_254_ESE_Level_4__Grade_Level_PK_3" localSheetId="20">'3394'!$A$18</definedName>
    <definedName name="_254_ESE_Level_4__Grade_Level_PK_3" localSheetId="21">'3395'!$A$18</definedName>
    <definedName name="_254_ESE_Level_4__Grade_Level_PK_3" localSheetId="22">'3396'!$A$18</definedName>
    <definedName name="_254_ESE_Level_4__Grade_Level_PK_3" localSheetId="23">'3398'!$A$18</definedName>
    <definedName name="_254_ESE_Level_4__Grade_Level_PK_3" localSheetId="24">'3400'!$A$18</definedName>
    <definedName name="_254_ESE_Level_4__Grade_Level_PK_3" localSheetId="25">'3401'!$A$18</definedName>
    <definedName name="_254_ESE_Level_4__Grade_Level_PK_3" localSheetId="26">'3413'!$A$18</definedName>
    <definedName name="_254_ESE_Level_4__Grade_Level_PK_3" localSheetId="27">'3421'!$A$18</definedName>
    <definedName name="_254_ESE_Level_4__Grade_Level_PK_3" localSheetId="28">'3431'!$A$18</definedName>
    <definedName name="_254_ESE_Level_4__Grade_Level_PK_3" localSheetId="29">'3441'!$A$18</definedName>
    <definedName name="_254_ESE_Level_4__Grade_Level_PK_3" localSheetId="30">'3924'!$A$18</definedName>
    <definedName name="_254_ESE_Level_4__Grade_Level_PK_3" localSheetId="31">'3941'!$A$18</definedName>
    <definedName name="_254_ESE_Level_4__Grade_Level_PK_3" localSheetId="32">'3961'!$A$18</definedName>
    <definedName name="_254_ESE_Level_4__Grade_Level_PK_3" localSheetId="33">'3971'!$A$18</definedName>
    <definedName name="_254_ESE_Level_4__Grade_Level_PK_3" localSheetId="34">'4001'!$A$18</definedName>
    <definedName name="_254_ESE_Level_4__Grade_Level_PK_3" localSheetId="35">'4002'!$A$18</definedName>
    <definedName name="_254_ESE_Level_4__Grade_Level_PK_3" localSheetId="36">'4012'!$A$18</definedName>
    <definedName name="_254_ESE_Level_4__Grade_Level_PK_3" localSheetId="37">'4013'!$A$18</definedName>
    <definedName name="_254_ESE_Level_4__Grade_Level_PK_3" localSheetId="38">'4020'!$A$18</definedName>
    <definedName name="_254_ESE_Level_4__Grade_Level_PK_3" localSheetId="39">'4030'!$A$18</definedName>
    <definedName name="_254_ESE_Level_4__Grade_Level_PK_3" localSheetId="40">'4031'!$A$18</definedName>
    <definedName name="_254_ESE_Level_4__Grade_Level_PK_3" localSheetId="41">'4041'!$A$18</definedName>
    <definedName name="_254_ESE_Level_4__Grade_Level_PK_3" localSheetId="42">'4050'!$A$18</definedName>
    <definedName name="_254_ESE_Level_4__Grade_Level_PK_3" localSheetId="43">'4051'!$A$18</definedName>
    <definedName name="_254_ESE_Level_4__Grade_Level_PK_3" localSheetId="44">'4061'!$A$18</definedName>
    <definedName name="_254_ESE_Level_4__Grade_Level_PK_3" localSheetId="45">'4080'!$A$18</definedName>
    <definedName name="_254_ESE_Level_4__Grade_Level_PK_3" localSheetId="46">'4081'!$A$18</definedName>
    <definedName name="_254_ESE_Level_4__Grade_Level_PK_3" localSheetId="47">'4090'!$A$18</definedName>
    <definedName name="_254_ESE_Level_4__Grade_Level_PK_3" localSheetId="48">'4091'!$A$18</definedName>
    <definedName name="_254_ESE_Level_4__Grade_Level_PK_3" localSheetId="49">'4100'!$A$18</definedName>
    <definedName name="_254_ESE_Level_4__Grade_Level_PK_3" localSheetId="50">'4102'!$A$18</definedName>
    <definedName name="_254_ESE_Level_4__Grade_Level_PK_3" localSheetId="51">'4103'!$A$18</definedName>
    <definedName name="_254_ESE_Level_4__Grade_Level_PK_3" localSheetId="52">'4111'!$A$18</definedName>
    <definedName name="_254_ESE_Level_4__Grade_Level_PK_3" localSheetId="53">'4131'!$A$18</definedName>
    <definedName name="_254_ESE_Level_4__Grade_Level_PK_3">'0040'!$A$18</definedName>
    <definedName name="_255_ESE_Level_5__Grade_Level_4_8" localSheetId="6">'0100'!$A$22</definedName>
    <definedName name="_255_ESE_Level_5__Grade_Level_4_8" localSheetId="7">'1461'!$A$22</definedName>
    <definedName name="_255_ESE_Level_5__Grade_Level_4_8" localSheetId="8">'1571'!$A$22</definedName>
    <definedName name="_255_ESE_Level_5__Grade_Level_4_8" localSheetId="9">'2521'!$A$22</definedName>
    <definedName name="_255_ESE_Level_5__Grade_Level_4_8" localSheetId="10">'2531'!$A$22</definedName>
    <definedName name="_255_ESE_Level_5__Grade_Level_4_8" localSheetId="11">'2791'!$A$22</definedName>
    <definedName name="_255_ESE_Level_5__Grade_Level_4_8" localSheetId="12">'2801'!$A$22</definedName>
    <definedName name="_255_ESE_Level_5__Grade_Level_4_8" localSheetId="13">'2911'!$A$22</definedName>
    <definedName name="_255_ESE_Level_5__Grade_Level_4_8" localSheetId="14">'2941'!$A$22</definedName>
    <definedName name="_255_ESE_Level_5__Grade_Level_4_8" localSheetId="15">'3083'!$A$22</definedName>
    <definedName name="_255_ESE_Level_5__Grade_Level_4_8" localSheetId="16">'3345'!$A$22</definedName>
    <definedName name="_255_ESE_Level_5__Grade_Level_4_8" localSheetId="17">'3381'!$A$22</definedName>
    <definedName name="_255_ESE_Level_5__Grade_Level_4_8" localSheetId="18">'3382'!$A$22</definedName>
    <definedName name="_255_ESE_Level_5__Grade_Level_4_8" localSheetId="19">'3391'!$A$22</definedName>
    <definedName name="_255_ESE_Level_5__Grade_Level_4_8" localSheetId="20">'3394'!$A$22</definedName>
    <definedName name="_255_ESE_Level_5__Grade_Level_4_8" localSheetId="21">'3395'!$A$22</definedName>
    <definedName name="_255_ESE_Level_5__Grade_Level_4_8" localSheetId="22">'3396'!$A$22</definedName>
    <definedName name="_255_ESE_Level_5__Grade_Level_4_8" localSheetId="23">'3398'!$A$22</definedName>
    <definedName name="_255_ESE_Level_5__Grade_Level_4_8" localSheetId="24">'3400'!$A$22</definedName>
    <definedName name="_255_ESE_Level_5__Grade_Level_4_8" localSheetId="25">'3401'!$A$22</definedName>
    <definedName name="_255_ESE_Level_5__Grade_Level_4_8" localSheetId="26">'3413'!$A$22</definedName>
    <definedName name="_255_ESE_Level_5__Grade_Level_4_8" localSheetId="27">'3421'!$A$22</definedName>
    <definedName name="_255_ESE_Level_5__Grade_Level_4_8" localSheetId="28">'3431'!$A$22</definedName>
    <definedName name="_255_ESE_Level_5__Grade_Level_4_8" localSheetId="29">'3441'!$A$22</definedName>
    <definedName name="_255_ESE_Level_5__Grade_Level_4_8" localSheetId="30">'3924'!$A$22</definedName>
    <definedName name="_255_ESE_Level_5__Grade_Level_4_8" localSheetId="31">'3941'!$A$22</definedName>
    <definedName name="_255_ESE_Level_5__Grade_Level_4_8" localSheetId="32">'3961'!$A$22</definedName>
    <definedName name="_255_ESE_Level_5__Grade_Level_4_8" localSheetId="33">'3971'!$A$22</definedName>
    <definedName name="_255_ESE_Level_5__Grade_Level_4_8" localSheetId="34">'4001'!$A$22</definedName>
    <definedName name="_255_ESE_Level_5__Grade_Level_4_8" localSheetId="35">'4002'!$A$22</definedName>
    <definedName name="_255_ESE_Level_5__Grade_Level_4_8" localSheetId="36">'4012'!$A$22</definedName>
    <definedName name="_255_ESE_Level_5__Grade_Level_4_8" localSheetId="37">'4013'!$A$22</definedName>
    <definedName name="_255_ESE_Level_5__Grade_Level_4_8" localSheetId="38">'4020'!$A$22</definedName>
    <definedName name="_255_ESE_Level_5__Grade_Level_4_8" localSheetId="39">'4030'!$A$22</definedName>
    <definedName name="_255_ESE_Level_5__Grade_Level_4_8" localSheetId="40">'4031'!$A$22</definedName>
    <definedName name="_255_ESE_Level_5__Grade_Level_4_8" localSheetId="41">'4041'!$A$22</definedName>
    <definedName name="_255_ESE_Level_5__Grade_Level_4_8" localSheetId="42">'4050'!$A$22</definedName>
    <definedName name="_255_ESE_Level_5__Grade_Level_4_8" localSheetId="43">'4051'!$A$22</definedName>
    <definedName name="_255_ESE_Level_5__Grade_Level_4_8" localSheetId="44">'4061'!$A$22</definedName>
    <definedName name="_255_ESE_Level_5__Grade_Level_4_8" localSheetId="45">'4080'!$A$22</definedName>
    <definedName name="_255_ESE_Level_5__Grade_Level_4_8" localSheetId="46">'4081'!$A$22</definedName>
    <definedName name="_255_ESE_Level_5__Grade_Level_4_8" localSheetId="47">'4090'!$A$22</definedName>
    <definedName name="_255_ESE_Level_5__Grade_Level_4_8" localSheetId="48">'4091'!$A$22</definedName>
    <definedName name="_255_ESE_Level_5__Grade_Level_4_8" localSheetId="49">'4100'!$A$22</definedName>
    <definedName name="_255_ESE_Level_5__Grade_Level_4_8" localSheetId="50">'4102'!$A$22</definedName>
    <definedName name="_255_ESE_Level_5__Grade_Level_4_8" localSheetId="51">'4103'!$A$22</definedName>
    <definedName name="_255_ESE_Level_5__Grade_Level_4_8" localSheetId="52">'4111'!$A$22</definedName>
    <definedName name="_255_ESE_Level_5__Grade_Level_4_8" localSheetId="53">'4131'!$A$22</definedName>
    <definedName name="_255_ESE_Level_5__Grade_Level_4_8">'0040'!$A$22</definedName>
    <definedName name="_255_ESE_Level_5__Grade_Level_9_12" localSheetId="6">'0100'!$A$23</definedName>
    <definedName name="_255_ESE_Level_5__Grade_Level_9_12" localSheetId="7">'1461'!$A$23</definedName>
    <definedName name="_255_ESE_Level_5__Grade_Level_9_12" localSheetId="8">'1571'!$A$23</definedName>
    <definedName name="_255_ESE_Level_5__Grade_Level_9_12" localSheetId="9">'2521'!$A$23</definedName>
    <definedName name="_255_ESE_Level_5__Grade_Level_9_12" localSheetId="10">'2531'!$A$23</definedName>
    <definedName name="_255_ESE_Level_5__Grade_Level_9_12" localSheetId="11">'2791'!$A$23</definedName>
    <definedName name="_255_ESE_Level_5__Grade_Level_9_12" localSheetId="12">'2801'!$A$23</definedName>
    <definedName name="_255_ESE_Level_5__Grade_Level_9_12" localSheetId="13">'2911'!$A$23</definedName>
    <definedName name="_255_ESE_Level_5__Grade_Level_9_12" localSheetId="14">'2941'!$A$23</definedName>
    <definedName name="_255_ESE_Level_5__Grade_Level_9_12" localSheetId="15">'3083'!$A$23</definedName>
    <definedName name="_255_ESE_Level_5__Grade_Level_9_12" localSheetId="16">'3345'!$A$23</definedName>
    <definedName name="_255_ESE_Level_5__Grade_Level_9_12" localSheetId="17">'3381'!$A$23</definedName>
    <definedName name="_255_ESE_Level_5__Grade_Level_9_12" localSheetId="18">'3382'!$A$23</definedName>
    <definedName name="_255_ESE_Level_5__Grade_Level_9_12" localSheetId="19">'3391'!$A$23</definedName>
    <definedName name="_255_ESE_Level_5__Grade_Level_9_12" localSheetId="20">'3394'!$A$23</definedName>
    <definedName name="_255_ESE_Level_5__Grade_Level_9_12" localSheetId="21">'3395'!$A$23</definedName>
    <definedName name="_255_ESE_Level_5__Grade_Level_9_12" localSheetId="22">'3396'!$A$23</definedName>
    <definedName name="_255_ESE_Level_5__Grade_Level_9_12" localSheetId="23">'3398'!$A$23</definedName>
    <definedName name="_255_ESE_Level_5__Grade_Level_9_12" localSheetId="24">'3400'!$A$23</definedName>
    <definedName name="_255_ESE_Level_5__Grade_Level_9_12" localSheetId="25">'3401'!$A$23</definedName>
    <definedName name="_255_ESE_Level_5__Grade_Level_9_12" localSheetId="26">'3413'!$A$23</definedName>
    <definedName name="_255_ESE_Level_5__Grade_Level_9_12" localSheetId="27">'3421'!$A$23</definedName>
    <definedName name="_255_ESE_Level_5__Grade_Level_9_12" localSheetId="28">'3431'!$A$23</definedName>
    <definedName name="_255_ESE_Level_5__Grade_Level_9_12" localSheetId="29">'3441'!$A$23</definedName>
    <definedName name="_255_ESE_Level_5__Grade_Level_9_12" localSheetId="30">'3924'!$A$23</definedName>
    <definedName name="_255_ESE_Level_5__Grade_Level_9_12" localSheetId="31">'3941'!$A$23</definedName>
    <definedName name="_255_ESE_Level_5__Grade_Level_9_12" localSheetId="32">'3961'!$A$23</definedName>
    <definedName name="_255_ESE_Level_5__Grade_Level_9_12" localSheetId="33">'3971'!$A$23</definedName>
    <definedName name="_255_ESE_Level_5__Grade_Level_9_12" localSheetId="34">'4001'!$A$23</definedName>
    <definedName name="_255_ESE_Level_5__Grade_Level_9_12" localSheetId="35">'4002'!$A$23</definedName>
    <definedName name="_255_ESE_Level_5__Grade_Level_9_12" localSheetId="36">'4012'!$A$23</definedName>
    <definedName name="_255_ESE_Level_5__Grade_Level_9_12" localSheetId="37">'4013'!$A$23</definedName>
    <definedName name="_255_ESE_Level_5__Grade_Level_9_12" localSheetId="38">'4020'!$A$23</definedName>
    <definedName name="_255_ESE_Level_5__Grade_Level_9_12" localSheetId="39">'4030'!$A$23</definedName>
    <definedName name="_255_ESE_Level_5__Grade_Level_9_12" localSheetId="40">'4031'!$A$23</definedName>
    <definedName name="_255_ESE_Level_5__Grade_Level_9_12" localSheetId="41">'4041'!$A$23</definedName>
    <definedName name="_255_ESE_Level_5__Grade_Level_9_12" localSheetId="42">'4050'!$A$23</definedName>
    <definedName name="_255_ESE_Level_5__Grade_Level_9_12" localSheetId="43">'4051'!$A$23</definedName>
    <definedName name="_255_ESE_Level_5__Grade_Level_9_12" localSheetId="44">'4061'!$A$23</definedName>
    <definedName name="_255_ESE_Level_5__Grade_Level_9_12" localSheetId="45">'4080'!$A$23</definedName>
    <definedName name="_255_ESE_Level_5__Grade_Level_9_12" localSheetId="46">'4081'!$A$23</definedName>
    <definedName name="_255_ESE_Level_5__Grade_Level_9_12" localSheetId="47">'4090'!$A$23</definedName>
    <definedName name="_255_ESE_Level_5__Grade_Level_9_12" localSheetId="48">'4091'!$A$23</definedName>
    <definedName name="_255_ESE_Level_5__Grade_Level_9_12" localSheetId="49">'4100'!$A$23</definedName>
    <definedName name="_255_ESE_Level_5__Grade_Level_9_12" localSheetId="50">'4102'!$A$23</definedName>
    <definedName name="_255_ESE_Level_5__Grade_Level_9_12" localSheetId="51">'4103'!$A$23</definedName>
    <definedName name="_255_ESE_Level_5__Grade_Level_9_12" localSheetId="52">'4111'!$A$23</definedName>
    <definedName name="_255_ESE_Level_5__Grade_Level_9_12" localSheetId="53">'4131'!$A$23</definedName>
    <definedName name="_255_ESE_Level_5__Grade_Level_9_12">'0040'!$A$23</definedName>
    <definedName name="_255_ESE_Level_5__Grade_Level_PK_3" localSheetId="6">'0100'!$A$21</definedName>
    <definedName name="_255_ESE_Level_5__Grade_Level_PK_3" localSheetId="7">'1461'!$A$21</definedName>
    <definedName name="_255_ESE_Level_5__Grade_Level_PK_3" localSheetId="8">'1571'!$A$21</definedName>
    <definedName name="_255_ESE_Level_5__Grade_Level_PK_3" localSheetId="9">'2521'!$A$21</definedName>
    <definedName name="_255_ESE_Level_5__Grade_Level_PK_3" localSheetId="10">'2531'!$A$21</definedName>
    <definedName name="_255_ESE_Level_5__Grade_Level_PK_3" localSheetId="11">'2791'!$A$21</definedName>
    <definedName name="_255_ESE_Level_5__Grade_Level_PK_3" localSheetId="12">'2801'!$A$21</definedName>
    <definedName name="_255_ESE_Level_5__Grade_Level_PK_3" localSheetId="13">'2911'!$A$21</definedName>
    <definedName name="_255_ESE_Level_5__Grade_Level_PK_3" localSheetId="14">'2941'!$A$21</definedName>
    <definedName name="_255_ESE_Level_5__Grade_Level_PK_3" localSheetId="15">'3083'!$A$21</definedName>
    <definedName name="_255_ESE_Level_5__Grade_Level_PK_3" localSheetId="16">'3345'!$A$21</definedName>
    <definedName name="_255_ESE_Level_5__Grade_Level_PK_3" localSheetId="17">'3381'!$A$21</definedName>
    <definedName name="_255_ESE_Level_5__Grade_Level_PK_3" localSheetId="18">'3382'!$A$21</definedName>
    <definedName name="_255_ESE_Level_5__Grade_Level_PK_3" localSheetId="19">'3391'!$A$21</definedName>
    <definedName name="_255_ESE_Level_5__Grade_Level_PK_3" localSheetId="20">'3394'!$A$21</definedName>
    <definedName name="_255_ESE_Level_5__Grade_Level_PK_3" localSheetId="21">'3395'!$A$21</definedName>
    <definedName name="_255_ESE_Level_5__Grade_Level_PK_3" localSheetId="22">'3396'!$A$21</definedName>
    <definedName name="_255_ESE_Level_5__Grade_Level_PK_3" localSheetId="23">'3398'!$A$21</definedName>
    <definedName name="_255_ESE_Level_5__Grade_Level_PK_3" localSheetId="24">'3400'!$A$21</definedName>
    <definedName name="_255_ESE_Level_5__Grade_Level_PK_3" localSheetId="25">'3401'!$A$21</definedName>
    <definedName name="_255_ESE_Level_5__Grade_Level_PK_3" localSheetId="26">'3413'!$A$21</definedName>
    <definedName name="_255_ESE_Level_5__Grade_Level_PK_3" localSheetId="27">'3421'!$A$21</definedName>
    <definedName name="_255_ESE_Level_5__Grade_Level_PK_3" localSheetId="28">'3431'!$A$21</definedName>
    <definedName name="_255_ESE_Level_5__Grade_Level_PK_3" localSheetId="29">'3441'!$A$21</definedName>
    <definedName name="_255_ESE_Level_5__Grade_Level_PK_3" localSheetId="30">'3924'!$A$21</definedName>
    <definedName name="_255_ESE_Level_5__Grade_Level_PK_3" localSheetId="31">'3941'!$A$21</definedName>
    <definedName name="_255_ESE_Level_5__Grade_Level_PK_3" localSheetId="32">'3961'!$A$21</definedName>
    <definedName name="_255_ESE_Level_5__Grade_Level_PK_3" localSheetId="33">'3971'!$A$21</definedName>
    <definedName name="_255_ESE_Level_5__Grade_Level_PK_3" localSheetId="34">'4001'!$A$21</definedName>
    <definedName name="_255_ESE_Level_5__Grade_Level_PK_3" localSheetId="35">'4002'!$A$21</definedName>
    <definedName name="_255_ESE_Level_5__Grade_Level_PK_3" localSheetId="36">'4012'!$A$21</definedName>
    <definedName name="_255_ESE_Level_5__Grade_Level_PK_3" localSheetId="37">'4013'!$A$21</definedName>
    <definedName name="_255_ESE_Level_5__Grade_Level_PK_3" localSheetId="38">'4020'!$A$21</definedName>
    <definedName name="_255_ESE_Level_5__Grade_Level_PK_3" localSheetId="39">'4030'!$A$21</definedName>
    <definedName name="_255_ESE_Level_5__Grade_Level_PK_3" localSheetId="40">'4031'!$A$21</definedName>
    <definedName name="_255_ESE_Level_5__Grade_Level_PK_3" localSheetId="41">'4041'!$A$21</definedName>
    <definedName name="_255_ESE_Level_5__Grade_Level_PK_3" localSheetId="42">'4050'!$A$21</definedName>
    <definedName name="_255_ESE_Level_5__Grade_Level_PK_3" localSheetId="43">'4051'!$A$21</definedName>
    <definedName name="_255_ESE_Level_5__Grade_Level_PK_3" localSheetId="44">'4061'!$A$21</definedName>
    <definedName name="_255_ESE_Level_5__Grade_Level_PK_3" localSheetId="45">'4080'!$A$21</definedName>
    <definedName name="_255_ESE_Level_5__Grade_Level_PK_3" localSheetId="46">'4081'!$A$21</definedName>
    <definedName name="_255_ESE_Level_5__Grade_Level_PK_3" localSheetId="47">'4090'!$A$21</definedName>
    <definedName name="_255_ESE_Level_5__Grade_Level_PK_3" localSheetId="48">'4091'!$A$21</definedName>
    <definedName name="_255_ESE_Level_5__Grade_Level_PK_3" localSheetId="49">'4100'!$A$21</definedName>
    <definedName name="_255_ESE_Level_5__Grade_Level_PK_3" localSheetId="50">'4102'!$A$21</definedName>
    <definedName name="_255_ESE_Level_5__Grade_Level_PK_3" localSheetId="51">'4103'!$A$21</definedName>
    <definedName name="_255_ESE_Level_5__Grade_Level_PK_3" localSheetId="52">'4111'!$A$21</definedName>
    <definedName name="_255_ESE_Level_5__Grade_Level_PK_3" localSheetId="53">'4131'!$A$21</definedName>
    <definedName name="_255_ESE_Level_5__Grade_Level_PK_3">'0040'!$A$21</definedName>
    <definedName name="_3.__Supplemental_Academic_Instruction" localSheetId="6">'0100'!#REF!</definedName>
    <definedName name="_3.__Supplemental_Academic_Instruction" localSheetId="7">'1461'!#REF!</definedName>
    <definedName name="_3.__Supplemental_Academic_Instruction" localSheetId="8">'1571'!#REF!</definedName>
    <definedName name="_3.__Supplemental_Academic_Instruction" localSheetId="9">'2521'!#REF!</definedName>
    <definedName name="_3.__Supplemental_Academic_Instruction" localSheetId="10">'2531'!#REF!</definedName>
    <definedName name="_3.__Supplemental_Academic_Instruction" localSheetId="11">'2791'!#REF!</definedName>
    <definedName name="_3.__Supplemental_Academic_Instruction" localSheetId="12">'2801'!#REF!</definedName>
    <definedName name="_3.__Supplemental_Academic_Instruction" localSheetId="13">'2911'!#REF!</definedName>
    <definedName name="_3.__Supplemental_Academic_Instruction" localSheetId="14">'2941'!#REF!</definedName>
    <definedName name="_3.__Supplemental_Academic_Instruction" localSheetId="15">'3083'!#REF!</definedName>
    <definedName name="_3.__Supplemental_Academic_Instruction" localSheetId="16">'3345'!#REF!</definedName>
    <definedName name="_3.__Supplemental_Academic_Instruction" localSheetId="17">'3381'!#REF!</definedName>
    <definedName name="_3.__Supplemental_Academic_Instruction" localSheetId="18">'3382'!#REF!</definedName>
    <definedName name="_3.__Supplemental_Academic_Instruction" localSheetId="19">'3391'!#REF!</definedName>
    <definedName name="_3.__Supplemental_Academic_Instruction" localSheetId="20">'3394'!#REF!</definedName>
    <definedName name="_3.__Supplemental_Academic_Instruction" localSheetId="21">'3395'!#REF!</definedName>
    <definedName name="_3.__Supplemental_Academic_Instruction" localSheetId="22">'3396'!#REF!</definedName>
    <definedName name="_3.__Supplemental_Academic_Instruction" localSheetId="23">'3398'!#REF!</definedName>
    <definedName name="_3.__Supplemental_Academic_Instruction" localSheetId="24">'3400'!#REF!</definedName>
    <definedName name="_3.__Supplemental_Academic_Instruction" localSheetId="25">'3401'!#REF!</definedName>
    <definedName name="_3.__Supplemental_Academic_Instruction" localSheetId="26">'3413'!#REF!</definedName>
    <definedName name="_3.__Supplemental_Academic_Instruction" localSheetId="27">'3421'!#REF!</definedName>
    <definedName name="_3.__Supplemental_Academic_Instruction" localSheetId="28">'3431'!#REF!</definedName>
    <definedName name="_3.__Supplemental_Academic_Instruction" localSheetId="29">'3441'!#REF!</definedName>
    <definedName name="_3.__Supplemental_Academic_Instruction" localSheetId="30">'3924'!#REF!</definedName>
    <definedName name="_3.__Supplemental_Academic_Instruction" localSheetId="31">'3941'!#REF!</definedName>
    <definedName name="_3.__Supplemental_Academic_Instruction" localSheetId="32">'3961'!#REF!</definedName>
    <definedName name="_3.__Supplemental_Academic_Instruction" localSheetId="33">'3971'!#REF!</definedName>
    <definedName name="_3.__Supplemental_Academic_Instruction" localSheetId="34">'4001'!#REF!</definedName>
    <definedName name="_3.__Supplemental_Academic_Instruction" localSheetId="35">'4002'!#REF!</definedName>
    <definedName name="_3.__Supplemental_Academic_Instruction" localSheetId="36">'4012'!#REF!</definedName>
    <definedName name="_3.__Supplemental_Academic_Instruction" localSheetId="37">'4013'!#REF!</definedName>
    <definedName name="_3.__Supplemental_Academic_Instruction" localSheetId="38">'4020'!#REF!</definedName>
    <definedName name="_3.__Supplemental_Academic_Instruction" localSheetId="39">'4030'!#REF!</definedName>
    <definedName name="_3.__Supplemental_Academic_Instruction" localSheetId="40">'4031'!#REF!</definedName>
    <definedName name="_3.__Supplemental_Academic_Instruction" localSheetId="41">'4041'!#REF!</definedName>
    <definedName name="_3.__Supplemental_Academic_Instruction" localSheetId="42">'4050'!#REF!</definedName>
    <definedName name="_3.__Supplemental_Academic_Instruction" localSheetId="43">'4051'!#REF!</definedName>
    <definedName name="_3.__Supplemental_Academic_Instruction" localSheetId="44">'4061'!#REF!</definedName>
    <definedName name="_3.__Supplemental_Academic_Instruction" localSheetId="45">'4080'!#REF!</definedName>
    <definedName name="_3.__Supplemental_Academic_Instruction" localSheetId="46">'4081'!#REF!</definedName>
    <definedName name="_3.__Supplemental_Academic_Instruction" localSheetId="47">'4090'!#REF!</definedName>
    <definedName name="_3.__Supplemental_Academic_Instruction" localSheetId="48">'4091'!#REF!</definedName>
    <definedName name="_3.__Supplemental_Academic_Instruction" localSheetId="49">'4100'!#REF!</definedName>
    <definedName name="_3.__Supplemental_Academic_Instruction" localSheetId="50">'4102'!#REF!</definedName>
    <definedName name="_3.__Supplemental_Academic_Instruction" localSheetId="51">'4103'!#REF!</definedName>
    <definedName name="_3.__Supplemental_Academic_Instruction" localSheetId="52">'4111'!#REF!</definedName>
    <definedName name="_3.__Supplemental_Academic_Instruction" localSheetId="53">'4131'!#REF!</definedName>
    <definedName name="_3.__Supplemental_Academic_Instruction">'0040'!#REF!</definedName>
    <definedName name="_300_Career_Education__Grades_9_12" localSheetId="6">'0100'!$A$27</definedName>
    <definedName name="_300_Career_Education__Grades_9_12" localSheetId="7">'1461'!$A$27</definedName>
    <definedName name="_300_Career_Education__Grades_9_12" localSheetId="8">'1571'!$A$27</definedName>
    <definedName name="_300_Career_Education__Grades_9_12" localSheetId="9">'2521'!$A$27</definedName>
    <definedName name="_300_Career_Education__Grades_9_12" localSheetId="10">'2531'!$A$27</definedName>
    <definedName name="_300_Career_Education__Grades_9_12" localSheetId="11">'2791'!$A$27</definedName>
    <definedName name="_300_Career_Education__Grades_9_12" localSheetId="12">'2801'!$A$27</definedName>
    <definedName name="_300_Career_Education__Grades_9_12" localSheetId="13">'2911'!$A$27</definedName>
    <definedName name="_300_Career_Education__Grades_9_12" localSheetId="14">'2941'!$A$27</definedName>
    <definedName name="_300_Career_Education__Grades_9_12" localSheetId="15">'3083'!$A$27</definedName>
    <definedName name="_300_Career_Education__Grades_9_12" localSheetId="16">'3345'!$A$27</definedName>
    <definedName name="_300_Career_Education__Grades_9_12" localSheetId="17">'3381'!$A$27</definedName>
    <definedName name="_300_Career_Education__Grades_9_12" localSheetId="18">'3382'!$A$27</definedName>
    <definedName name="_300_Career_Education__Grades_9_12" localSheetId="19">'3391'!$A$27</definedName>
    <definedName name="_300_Career_Education__Grades_9_12" localSheetId="20">'3394'!$A$27</definedName>
    <definedName name="_300_Career_Education__Grades_9_12" localSheetId="21">'3395'!$A$27</definedName>
    <definedName name="_300_Career_Education__Grades_9_12" localSheetId="22">'3396'!$A$27</definedName>
    <definedName name="_300_Career_Education__Grades_9_12" localSheetId="23">'3398'!$A$27</definedName>
    <definedName name="_300_Career_Education__Grades_9_12" localSheetId="24">'3400'!$A$27</definedName>
    <definedName name="_300_Career_Education__Grades_9_12" localSheetId="25">'3401'!$A$27</definedName>
    <definedName name="_300_Career_Education__Grades_9_12" localSheetId="26">'3413'!$A$27</definedName>
    <definedName name="_300_Career_Education__Grades_9_12" localSheetId="27">'3421'!$A$27</definedName>
    <definedName name="_300_Career_Education__Grades_9_12" localSheetId="28">'3431'!$A$27</definedName>
    <definedName name="_300_Career_Education__Grades_9_12" localSheetId="29">'3441'!$A$27</definedName>
    <definedName name="_300_Career_Education__Grades_9_12" localSheetId="30">'3924'!$A$27</definedName>
    <definedName name="_300_Career_Education__Grades_9_12" localSheetId="31">'3941'!$A$27</definedName>
    <definedName name="_300_Career_Education__Grades_9_12" localSheetId="32">'3961'!$A$27</definedName>
    <definedName name="_300_Career_Education__Grades_9_12" localSheetId="33">'3971'!$A$27</definedName>
    <definedName name="_300_Career_Education__Grades_9_12" localSheetId="34">'4001'!$A$27</definedName>
    <definedName name="_300_Career_Education__Grades_9_12" localSheetId="35">'4002'!$A$27</definedName>
    <definedName name="_300_Career_Education__Grades_9_12" localSheetId="36">'4012'!$A$27</definedName>
    <definedName name="_300_Career_Education__Grades_9_12" localSheetId="37">'4013'!$A$27</definedName>
    <definedName name="_300_Career_Education__Grades_9_12" localSheetId="38">'4020'!$A$27</definedName>
    <definedName name="_300_Career_Education__Grades_9_12" localSheetId="39">'4030'!$A$27</definedName>
    <definedName name="_300_Career_Education__Grades_9_12" localSheetId="40">'4031'!$A$27</definedName>
    <definedName name="_300_Career_Education__Grades_9_12" localSheetId="41">'4041'!$A$27</definedName>
    <definedName name="_300_Career_Education__Grades_9_12" localSheetId="42">'4050'!$A$27</definedName>
    <definedName name="_300_Career_Education__Grades_9_12" localSheetId="43">'4051'!$A$27</definedName>
    <definedName name="_300_Career_Education__Grades_9_12" localSheetId="44">'4061'!$A$27</definedName>
    <definedName name="_300_Career_Education__Grades_9_12" localSheetId="45">'4080'!$A$27</definedName>
    <definedName name="_300_Career_Education__Grades_9_12" localSheetId="46">'4081'!$A$27</definedName>
    <definedName name="_300_Career_Education__Grades_9_12" localSheetId="47">'4090'!$A$27</definedName>
    <definedName name="_300_Career_Education__Grades_9_12" localSheetId="48">'4091'!$A$27</definedName>
    <definedName name="_300_Career_Education__Grades_9_12" localSheetId="49">'4100'!$A$27</definedName>
    <definedName name="_300_Career_Education__Grades_9_12" localSheetId="50">'4102'!$A$27</definedName>
    <definedName name="_300_Career_Education__Grades_9_12" localSheetId="51">'4103'!$A$27</definedName>
    <definedName name="_300_Career_Education__Grades_9_12" localSheetId="52">'4111'!$A$27</definedName>
    <definedName name="_300_Career_Education__Grades_9_12" localSheetId="53">'4131'!$A$27</definedName>
    <definedName name="_300_Career_Education__Grades_9_12">'0040'!$A$27</definedName>
    <definedName name="_4_8" localSheetId="6">'0100'!$A$91</definedName>
    <definedName name="_4_8" localSheetId="7">'1461'!$A$91</definedName>
    <definedName name="_4_8" localSheetId="8">'1571'!$A$91</definedName>
    <definedName name="_4_8" localSheetId="9">'2521'!$A$91</definedName>
    <definedName name="_4_8" localSheetId="10">'2531'!$A$91</definedName>
    <definedName name="_4_8" localSheetId="11">'2791'!$A$91</definedName>
    <definedName name="_4_8" localSheetId="12">'2801'!$A$91</definedName>
    <definedName name="_4_8" localSheetId="13">'2911'!$A$91</definedName>
    <definedName name="_4_8" localSheetId="14">'2941'!$A$91</definedName>
    <definedName name="_4_8" localSheetId="15">'3083'!$A$91</definedName>
    <definedName name="_4_8" localSheetId="16">'3345'!$A$91</definedName>
    <definedName name="_4_8" localSheetId="17">'3381'!$A$91</definedName>
    <definedName name="_4_8" localSheetId="18">'3382'!$A$91</definedName>
    <definedName name="_4_8" localSheetId="19">'3391'!$A$91</definedName>
    <definedName name="_4_8" localSheetId="20">'3394'!$A$91</definedName>
    <definedName name="_4_8" localSheetId="21">'3395'!$A$91</definedName>
    <definedName name="_4_8" localSheetId="22">'3396'!$A$91</definedName>
    <definedName name="_4_8" localSheetId="23">'3398'!$A$91</definedName>
    <definedName name="_4_8" localSheetId="24">'3400'!$A$91</definedName>
    <definedName name="_4_8" localSheetId="25">'3401'!$A$91</definedName>
    <definedName name="_4_8" localSheetId="26">'3413'!$A$91</definedName>
    <definedName name="_4_8" localSheetId="27">'3421'!$A$91</definedName>
    <definedName name="_4_8" localSheetId="28">'3431'!$A$91</definedName>
    <definedName name="_4_8" localSheetId="29">'3441'!$A$91</definedName>
    <definedName name="_4_8" localSheetId="30">'3924'!$A$91</definedName>
    <definedName name="_4_8" localSheetId="31">'3941'!$A$91</definedName>
    <definedName name="_4_8" localSheetId="32">'3961'!$A$91</definedName>
    <definedName name="_4_8" localSheetId="33">'3971'!$A$91</definedName>
    <definedName name="_4_8" localSheetId="34">'4001'!$A$91</definedName>
    <definedName name="_4_8" localSheetId="35">'4002'!$A$91</definedName>
    <definedName name="_4_8" localSheetId="36">'4012'!$A$91</definedName>
    <definedName name="_4_8" localSheetId="37">'4013'!$A$91</definedName>
    <definedName name="_4_8" localSheetId="38">'4020'!$A$91</definedName>
    <definedName name="_4_8" localSheetId="39">'4030'!$A$91</definedName>
    <definedName name="_4_8" localSheetId="40">'4031'!$A$91</definedName>
    <definedName name="_4_8" localSheetId="41">'4041'!$A$91</definedName>
    <definedName name="_4_8" localSheetId="42">'4050'!$A$91</definedName>
    <definedName name="_4_8" localSheetId="43">'4051'!$A$91</definedName>
    <definedName name="_4_8" localSheetId="44">'4061'!$A$91</definedName>
    <definedName name="_4_8" localSheetId="45">'4080'!$A$91</definedName>
    <definedName name="_4_8" localSheetId="46">'4081'!$A$91</definedName>
    <definedName name="_4_8" localSheetId="47">'4090'!$A$91</definedName>
    <definedName name="_4_8" localSheetId="48">'4091'!$A$91</definedName>
    <definedName name="_4_8" localSheetId="49">'4100'!$A$91</definedName>
    <definedName name="_4_8" localSheetId="50">'4102'!$A$91</definedName>
    <definedName name="_4_8" localSheetId="51">'4103'!$A$91</definedName>
    <definedName name="_4_8" localSheetId="52">'4111'!$A$91</definedName>
    <definedName name="_4_8" localSheetId="53">'4131'!$A$91</definedName>
    <definedName name="_4_8">'0040'!$A$91</definedName>
    <definedName name="_9_12" localSheetId="6">'0100'!$A$92</definedName>
    <definedName name="_9_12" localSheetId="7">'1461'!$A$92</definedName>
    <definedName name="_9_12" localSheetId="8">'1571'!$A$92</definedName>
    <definedName name="_9_12" localSheetId="9">'2521'!$A$92</definedName>
    <definedName name="_9_12" localSheetId="10">'2531'!$A$92</definedName>
    <definedName name="_9_12" localSheetId="11">'2791'!$A$92</definedName>
    <definedName name="_9_12" localSheetId="12">'2801'!$A$92</definedName>
    <definedName name="_9_12" localSheetId="13">'2911'!$A$92</definedName>
    <definedName name="_9_12" localSheetId="14">'2941'!$A$92</definedName>
    <definedName name="_9_12" localSheetId="15">'3083'!$A$92</definedName>
    <definedName name="_9_12" localSheetId="16">'3345'!$A$92</definedName>
    <definedName name="_9_12" localSheetId="17">'3381'!$A$92</definedName>
    <definedName name="_9_12" localSheetId="18">'3382'!$A$92</definedName>
    <definedName name="_9_12" localSheetId="19">'3391'!$A$92</definedName>
    <definedName name="_9_12" localSheetId="20">'3394'!$A$92</definedName>
    <definedName name="_9_12" localSheetId="21">'3395'!$A$92</definedName>
    <definedName name="_9_12" localSheetId="22">'3396'!$A$92</definedName>
    <definedName name="_9_12" localSheetId="23">'3398'!$A$92</definedName>
    <definedName name="_9_12" localSheetId="24">'3400'!$A$92</definedName>
    <definedName name="_9_12" localSheetId="25">'3401'!$A$92</definedName>
    <definedName name="_9_12" localSheetId="26">'3413'!$A$92</definedName>
    <definedName name="_9_12" localSheetId="27">'3421'!$A$92</definedName>
    <definedName name="_9_12" localSheetId="28">'3431'!$A$92</definedName>
    <definedName name="_9_12" localSheetId="29">'3441'!$A$92</definedName>
    <definedName name="_9_12" localSheetId="30">'3924'!$A$92</definedName>
    <definedName name="_9_12" localSheetId="31">'3941'!$A$92</definedName>
    <definedName name="_9_12" localSheetId="32">'3961'!$A$92</definedName>
    <definedName name="_9_12" localSheetId="33">'3971'!$A$92</definedName>
    <definedName name="_9_12" localSheetId="34">'4001'!$A$92</definedName>
    <definedName name="_9_12" localSheetId="35">'4002'!$A$92</definedName>
    <definedName name="_9_12" localSheetId="36">'4012'!$A$92</definedName>
    <definedName name="_9_12" localSheetId="37">'4013'!$A$92</definedName>
    <definedName name="_9_12" localSheetId="38">'4020'!$A$92</definedName>
    <definedName name="_9_12" localSheetId="39">'4030'!$A$92</definedName>
    <definedName name="_9_12" localSheetId="40">'4031'!$A$92</definedName>
    <definedName name="_9_12" localSheetId="41">'4041'!$A$92</definedName>
    <definedName name="_9_12" localSheetId="42">'4050'!$A$92</definedName>
    <definedName name="_9_12" localSheetId="43">'4051'!$A$92</definedName>
    <definedName name="_9_12" localSheetId="44">'4061'!$A$92</definedName>
    <definedName name="_9_12" localSheetId="45">'4080'!$A$92</definedName>
    <definedName name="_9_12" localSheetId="46">'4081'!$A$92</definedName>
    <definedName name="_9_12" localSheetId="47">'4090'!$A$92</definedName>
    <definedName name="_9_12" localSheetId="48">'4091'!$A$92</definedName>
    <definedName name="_9_12" localSheetId="49">'4100'!$A$92</definedName>
    <definedName name="_9_12" localSheetId="50">'4102'!$A$92</definedName>
    <definedName name="_9_12" localSheetId="51">'4103'!$A$92</definedName>
    <definedName name="_9_12" localSheetId="52">'4111'!$A$92</definedName>
    <definedName name="_9_12" localSheetId="53">'4131'!$A$92</definedName>
    <definedName name="_9_12">'0040'!$A$92</definedName>
    <definedName name="_Add_On_FTE" localSheetId="6">'0100'!#REF!</definedName>
    <definedName name="_Add_On_FTE" localSheetId="7">'1461'!#REF!</definedName>
    <definedName name="_Add_On_FTE" localSheetId="8">'1571'!#REF!</definedName>
    <definedName name="_Add_On_FTE" localSheetId="9">'2521'!#REF!</definedName>
    <definedName name="_Add_On_FTE" localSheetId="10">'2531'!#REF!</definedName>
    <definedName name="_Add_On_FTE" localSheetId="11">'2791'!#REF!</definedName>
    <definedName name="_Add_On_FTE" localSheetId="12">'2801'!#REF!</definedName>
    <definedName name="_Add_On_FTE" localSheetId="13">'2911'!#REF!</definedName>
    <definedName name="_Add_On_FTE" localSheetId="14">'2941'!#REF!</definedName>
    <definedName name="_Add_On_FTE" localSheetId="15">'3083'!#REF!</definedName>
    <definedName name="_Add_On_FTE" localSheetId="16">'3345'!#REF!</definedName>
    <definedName name="_Add_On_FTE" localSheetId="17">'3381'!#REF!</definedName>
    <definedName name="_Add_On_FTE" localSheetId="18">'3382'!#REF!</definedName>
    <definedName name="_Add_On_FTE" localSheetId="19">'3391'!#REF!</definedName>
    <definedName name="_Add_On_FTE" localSheetId="20">'3394'!#REF!</definedName>
    <definedName name="_Add_On_FTE" localSheetId="21">'3395'!#REF!</definedName>
    <definedName name="_Add_On_FTE" localSheetId="22">'3396'!#REF!</definedName>
    <definedName name="_Add_On_FTE" localSheetId="23">'3398'!#REF!</definedName>
    <definedName name="_Add_On_FTE" localSheetId="24">'3400'!#REF!</definedName>
    <definedName name="_Add_On_FTE" localSheetId="25">'3401'!#REF!</definedName>
    <definedName name="_Add_On_FTE" localSheetId="26">'3413'!#REF!</definedName>
    <definedName name="_Add_On_FTE" localSheetId="27">'3421'!#REF!</definedName>
    <definedName name="_Add_On_FTE" localSheetId="28">'3431'!#REF!</definedName>
    <definedName name="_Add_On_FTE" localSheetId="29">'3441'!#REF!</definedName>
    <definedName name="_Add_On_FTE" localSheetId="30">'3924'!#REF!</definedName>
    <definedName name="_Add_On_FTE" localSheetId="31">'3941'!#REF!</definedName>
    <definedName name="_Add_On_FTE" localSheetId="32">'3961'!#REF!</definedName>
    <definedName name="_Add_On_FTE" localSheetId="33">'3971'!#REF!</definedName>
    <definedName name="_Add_On_FTE" localSheetId="34">'4001'!#REF!</definedName>
    <definedName name="_Add_On_FTE" localSheetId="35">'4002'!#REF!</definedName>
    <definedName name="_Add_On_FTE" localSheetId="36">'4012'!#REF!</definedName>
    <definedName name="_Add_On_FTE" localSheetId="37">'4013'!#REF!</definedName>
    <definedName name="_Add_On_FTE" localSheetId="38">'4020'!#REF!</definedName>
    <definedName name="_Add_On_FTE" localSheetId="39">'4030'!#REF!</definedName>
    <definedName name="_Add_On_FTE" localSheetId="40">'4031'!#REF!</definedName>
    <definedName name="_Add_On_FTE" localSheetId="41">'4041'!#REF!</definedName>
    <definedName name="_Add_On_FTE" localSheetId="42">'4050'!#REF!</definedName>
    <definedName name="_Add_On_FTE" localSheetId="43">'4051'!#REF!</definedName>
    <definedName name="_Add_On_FTE" localSheetId="44">'4061'!#REF!</definedName>
    <definedName name="_Add_On_FTE" localSheetId="45">'4080'!#REF!</definedName>
    <definedName name="_Add_On_FTE" localSheetId="46">'4081'!#REF!</definedName>
    <definedName name="_Add_On_FTE" localSheetId="47">'4090'!#REF!</definedName>
    <definedName name="_Add_On_FTE" localSheetId="48">'4091'!#REF!</definedName>
    <definedName name="_Add_On_FTE" localSheetId="49">'4100'!#REF!</definedName>
    <definedName name="_Add_On_FTE" localSheetId="50">'4102'!#REF!</definedName>
    <definedName name="_Add_On_FTE" localSheetId="51">'4103'!#REF!</definedName>
    <definedName name="_Add_On_FTE" localSheetId="52">'4111'!#REF!</definedName>
    <definedName name="_Add_On_FTE" localSheetId="53">'4131'!#REF!</definedName>
    <definedName name="_Add_On_FTE">'0040'!#REF!</definedName>
    <definedName name="_xlnm._FilterDatabase" localSheetId="1" hidden="1">'Annual Rev &amp; Fees'!$A$5:$W$53</definedName>
    <definedName name="_xlnm._FilterDatabase" localSheetId="0" hidden="1">'Net Payment'!$A$4:$G$451</definedName>
    <definedName name="_grp1">#REF!</definedName>
    <definedName name="Actual_Additional_.25_Discretionary_Revenue">'[1]Detail 2025-26 FEFP Second'!#REF!</definedName>
    <definedName name="Add_On_FTE" localSheetId="6">'0100'!#REF!</definedName>
    <definedName name="Add_On_FTE" localSheetId="7">'1461'!#REF!</definedName>
    <definedName name="Add_On_FTE" localSheetId="8">'1571'!#REF!</definedName>
    <definedName name="Add_On_FTE" localSheetId="9">'2521'!#REF!</definedName>
    <definedName name="Add_On_FTE" localSheetId="10">'2531'!#REF!</definedName>
    <definedName name="Add_On_FTE" localSheetId="11">'2791'!#REF!</definedName>
    <definedName name="Add_On_FTE" localSheetId="12">'2801'!#REF!</definedName>
    <definedName name="Add_On_FTE" localSheetId="13">'2911'!#REF!</definedName>
    <definedName name="Add_On_FTE" localSheetId="14">'2941'!#REF!</definedName>
    <definedName name="Add_On_FTE" localSheetId="15">'3083'!#REF!</definedName>
    <definedName name="Add_On_FTE" localSheetId="16">'3345'!#REF!</definedName>
    <definedName name="Add_On_FTE" localSheetId="17">'3381'!#REF!</definedName>
    <definedName name="Add_On_FTE" localSheetId="18">'3382'!#REF!</definedName>
    <definedName name="Add_On_FTE" localSheetId="19">'3391'!#REF!</definedName>
    <definedName name="Add_On_FTE" localSheetId="20">'3394'!#REF!</definedName>
    <definedName name="Add_On_FTE" localSheetId="21">'3395'!#REF!</definedName>
    <definedName name="Add_On_FTE" localSheetId="22">'3396'!#REF!</definedName>
    <definedName name="Add_On_FTE" localSheetId="23">'3398'!#REF!</definedName>
    <definedName name="Add_On_FTE" localSheetId="24">'3400'!#REF!</definedName>
    <definedName name="Add_On_FTE" localSheetId="25">'3401'!#REF!</definedName>
    <definedName name="Add_On_FTE" localSheetId="26">'3413'!#REF!</definedName>
    <definedName name="Add_On_FTE" localSheetId="27">'3421'!#REF!</definedName>
    <definedName name="Add_On_FTE" localSheetId="28">'3431'!#REF!</definedName>
    <definedName name="Add_On_FTE" localSheetId="29">'3441'!#REF!</definedName>
    <definedName name="Add_On_FTE" localSheetId="30">'3924'!#REF!</definedName>
    <definedName name="Add_On_FTE" localSheetId="31">'3941'!#REF!</definedName>
    <definedName name="Add_On_FTE" localSheetId="32">'3961'!#REF!</definedName>
    <definedName name="Add_On_FTE" localSheetId="33">'3971'!#REF!</definedName>
    <definedName name="Add_On_FTE" localSheetId="34">'4001'!#REF!</definedName>
    <definedName name="Add_On_FTE" localSheetId="35">'4002'!#REF!</definedName>
    <definedName name="Add_On_FTE" localSheetId="36">'4012'!#REF!</definedName>
    <definedName name="Add_On_FTE" localSheetId="37">'4013'!#REF!</definedName>
    <definedName name="Add_On_FTE" localSheetId="38">'4020'!#REF!</definedName>
    <definedName name="Add_On_FTE" localSheetId="39">'4030'!#REF!</definedName>
    <definedName name="Add_On_FTE" localSheetId="40">'4031'!#REF!</definedName>
    <definedName name="Add_On_FTE" localSheetId="41">'4041'!#REF!</definedName>
    <definedName name="Add_On_FTE" localSheetId="42">'4050'!#REF!</definedName>
    <definedName name="Add_On_FTE" localSheetId="43">'4051'!#REF!</definedName>
    <definedName name="Add_On_FTE" localSheetId="44">'4061'!#REF!</definedName>
    <definedName name="Add_On_FTE" localSheetId="45">'4080'!#REF!</definedName>
    <definedName name="Add_On_FTE" localSheetId="46">'4081'!#REF!</definedName>
    <definedName name="Add_On_FTE" localSheetId="47">'4090'!#REF!</definedName>
    <definedName name="Add_On_FTE" localSheetId="48">'4091'!#REF!</definedName>
    <definedName name="Add_On_FTE" localSheetId="49">'4100'!#REF!</definedName>
    <definedName name="Add_On_FTE" localSheetId="50">'4102'!#REF!</definedName>
    <definedName name="Add_On_FTE" localSheetId="51">'4103'!#REF!</definedName>
    <definedName name="Add_On_FTE" localSheetId="52">'4111'!#REF!</definedName>
    <definedName name="Add_On_FTE" localSheetId="53">'4131'!#REF!</definedName>
    <definedName name="Add_On_FTE">'0040'!#REF!</definedName>
    <definedName name="Alachua">#REF!</definedName>
    <definedName name="Allocation_factors" localSheetId="6">'0100'!$G$89</definedName>
    <definedName name="Allocation_factors" localSheetId="7">'1461'!$G$89</definedName>
    <definedName name="Allocation_factors" localSheetId="8">'1571'!$G$89</definedName>
    <definedName name="Allocation_factors" localSheetId="9">'2521'!$G$89</definedName>
    <definedName name="Allocation_factors" localSheetId="10">'2531'!$G$89</definedName>
    <definedName name="Allocation_factors" localSheetId="11">'2791'!$G$89</definedName>
    <definedName name="Allocation_factors" localSheetId="12">'2801'!$G$89</definedName>
    <definedName name="Allocation_factors" localSheetId="13">'2911'!$G$89</definedName>
    <definedName name="Allocation_factors" localSheetId="14">'2941'!$G$89</definedName>
    <definedName name="Allocation_factors" localSheetId="15">'3083'!$G$89</definedName>
    <definedName name="Allocation_factors" localSheetId="16">'3345'!$G$89</definedName>
    <definedName name="Allocation_factors" localSheetId="17">'3381'!$G$89</definedName>
    <definedName name="Allocation_factors" localSheetId="18">'3382'!$G$89</definedName>
    <definedName name="Allocation_factors" localSheetId="19">'3391'!$G$89</definedName>
    <definedName name="Allocation_factors" localSheetId="20">'3394'!$G$89</definedName>
    <definedName name="Allocation_factors" localSheetId="21">'3395'!$G$89</definedName>
    <definedName name="Allocation_factors" localSheetId="22">'3396'!$G$89</definedName>
    <definedName name="Allocation_factors" localSheetId="23">'3398'!$G$89</definedName>
    <definedName name="Allocation_factors" localSheetId="24">'3400'!$G$89</definedName>
    <definedName name="Allocation_factors" localSheetId="25">'3401'!$G$89</definedName>
    <definedName name="Allocation_factors" localSheetId="26">'3413'!$G$89</definedName>
    <definedName name="Allocation_factors" localSheetId="27">'3421'!$G$89</definedName>
    <definedName name="Allocation_factors" localSheetId="28">'3431'!$G$89</definedName>
    <definedName name="Allocation_factors" localSheetId="29">'3441'!$G$89</definedName>
    <definedName name="Allocation_factors" localSheetId="30">'3924'!$G$89</definedName>
    <definedName name="Allocation_factors" localSheetId="31">'3941'!$G$89</definedName>
    <definedName name="Allocation_factors" localSheetId="32">'3961'!$G$89</definedName>
    <definedName name="Allocation_factors" localSheetId="33">'3971'!$G$89</definedName>
    <definedName name="Allocation_factors" localSheetId="34">'4001'!$G$89</definedName>
    <definedName name="Allocation_factors" localSheetId="35">'4002'!$G$89</definedName>
    <definedName name="Allocation_factors" localSheetId="36">'4012'!$G$89</definedName>
    <definedName name="Allocation_factors" localSheetId="37">'4013'!$G$89</definedName>
    <definedName name="Allocation_factors" localSheetId="38">'4020'!$G$89</definedName>
    <definedName name="Allocation_factors" localSheetId="39">'4030'!$G$89</definedName>
    <definedName name="Allocation_factors" localSheetId="40">'4031'!$G$89</definedName>
    <definedName name="Allocation_factors" localSheetId="41">'4041'!$G$89</definedName>
    <definedName name="Allocation_factors" localSheetId="42">'4050'!$G$89</definedName>
    <definedName name="Allocation_factors" localSheetId="43">'4051'!$G$89</definedName>
    <definedName name="Allocation_factors" localSheetId="44">'4061'!$G$89</definedName>
    <definedName name="Allocation_factors" localSheetId="45">'4080'!$G$89</definedName>
    <definedName name="Allocation_factors" localSheetId="46">'4081'!$G$89</definedName>
    <definedName name="Allocation_factors" localSheetId="47">'4090'!$G$89</definedName>
    <definedName name="Allocation_factors" localSheetId="48">'4091'!$G$89</definedName>
    <definedName name="Allocation_factors" localSheetId="49">'4100'!$G$89</definedName>
    <definedName name="Allocation_factors" localSheetId="50">'4102'!$G$89</definedName>
    <definedName name="Allocation_factors" localSheetId="51">'4103'!$G$89</definedName>
    <definedName name="Allocation_factors" localSheetId="52">'4111'!$G$89</definedName>
    <definedName name="Allocation_factors" localSheetId="53">'4131'!$G$89</definedName>
    <definedName name="Allocation_factors">'0040'!$G$89</definedName>
    <definedName name="ARRA_State_Fiscal_Stabilization">'[1]Detail 2025-26 FEFP Second'!#REF!</definedName>
    <definedName name="Baker">#REF!</definedName>
    <definedName name="Base_Student_Allocation" localSheetId="6">'0100'!$A$6</definedName>
    <definedName name="Base_Student_Allocation" localSheetId="7">'1461'!$A$6</definedName>
    <definedName name="Base_Student_Allocation" localSheetId="8">'1571'!$A$6</definedName>
    <definedName name="Base_Student_Allocation" localSheetId="9">'2521'!$A$6</definedName>
    <definedName name="Base_Student_Allocation" localSheetId="10">'2531'!$A$6</definedName>
    <definedName name="Base_Student_Allocation" localSheetId="11">'2791'!$A$6</definedName>
    <definedName name="Base_Student_Allocation" localSheetId="12">'2801'!$A$6</definedName>
    <definedName name="Base_Student_Allocation" localSheetId="13">'2911'!$A$6</definedName>
    <definedName name="Base_Student_Allocation" localSheetId="14">'2941'!$A$6</definedName>
    <definedName name="Base_Student_Allocation" localSheetId="15">'3083'!$A$6</definedName>
    <definedName name="Base_Student_Allocation" localSheetId="16">'3345'!$A$6</definedName>
    <definedName name="Base_Student_Allocation" localSheetId="17">'3381'!$A$6</definedName>
    <definedName name="Base_Student_Allocation" localSheetId="18">'3382'!$A$6</definedName>
    <definedName name="Base_Student_Allocation" localSheetId="19">'3391'!$A$6</definedName>
    <definedName name="Base_Student_Allocation" localSheetId="20">'3394'!$A$6</definedName>
    <definedName name="Base_Student_Allocation" localSheetId="21">'3395'!$A$6</definedName>
    <definedName name="Base_Student_Allocation" localSheetId="22">'3396'!$A$6</definedName>
    <definedName name="Base_Student_Allocation" localSheetId="23">'3398'!$A$6</definedName>
    <definedName name="Base_Student_Allocation" localSheetId="24">'3400'!$A$6</definedName>
    <definedName name="Base_Student_Allocation" localSheetId="25">'3401'!$A$6</definedName>
    <definedName name="Base_Student_Allocation" localSheetId="26">'3413'!$A$6</definedName>
    <definedName name="Base_Student_Allocation" localSheetId="27">'3421'!$A$6</definedName>
    <definedName name="Base_Student_Allocation" localSheetId="28">'3431'!$A$6</definedName>
    <definedName name="Base_Student_Allocation" localSheetId="29">'3441'!$A$6</definedName>
    <definedName name="Base_Student_Allocation" localSheetId="30">'3924'!$A$6</definedName>
    <definedName name="Base_Student_Allocation" localSheetId="31">'3941'!$A$6</definedName>
    <definedName name="Base_Student_Allocation" localSheetId="32">'3961'!$A$6</definedName>
    <definedName name="Base_Student_Allocation" localSheetId="33">'3971'!$A$6</definedName>
    <definedName name="Base_Student_Allocation" localSheetId="34">'4001'!$A$6</definedName>
    <definedName name="Base_Student_Allocation" localSheetId="35">'4002'!$A$6</definedName>
    <definedName name="Base_Student_Allocation" localSheetId="36">'4012'!$A$6</definedName>
    <definedName name="Base_Student_Allocation" localSheetId="37">'4013'!$A$6</definedName>
    <definedName name="Base_Student_Allocation" localSheetId="38">'4020'!$A$6</definedName>
    <definedName name="Base_Student_Allocation" localSheetId="39">'4030'!$A$6</definedName>
    <definedName name="Base_Student_Allocation" localSheetId="40">'4031'!$A$6</definedName>
    <definedName name="Base_Student_Allocation" localSheetId="41">'4041'!$A$6</definedName>
    <definedName name="Base_Student_Allocation" localSheetId="42">'4050'!$A$6</definedName>
    <definedName name="Base_Student_Allocation" localSheetId="43">'4051'!$A$6</definedName>
    <definedName name="Base_Student_Allocation" localSheetId="44">'4061'!$A$6</definedName>
    <definedName name="Base_Student_Allocation" localSheetId="45">'4080'!$A$6</definedName>
    <definedName name="Base_Student_Allocation" localSheetId="46">'4081'!$A$6</definedName>
    <definedName name="Base_Student_Allocation" localSheetId="47">'4090'!$A$6</definedName>
    <definedName name="Base_Student_Allocation" localSheetId="48">'4091'!$A$6</definedName>
    <definedName name="Base_Student_Allocation" localSheetId="49">'4100'!$A$6</definedName>
    <definedName name="Base_Student_Allocation" localSheetId="50">'4102'!$A$6</definedName>
    <definedName name="Base_Student_Allocation" localSheetId="51">'4103'!$A$6</definedName>
    <definedName name="Base_Student_Allocation" localSheetId="52">'4111'!$A$6</definedName>
    <definedName name="Base_Student_Allocation" localSheetId="53">'4131'!$A$6</definedName>
    <definedName name="Base_Student_Allocation">'0040'!$A$6</definedName>
    <definedName name="Based_on_the_Second_Calculation_of_the_FEFP_2010_11" localSheetId="6">'0100'!$A$3</definedName>
    <definedName name="Based_on_the_Second_Calculation_of_the_FEFP_2010_11" localSheetId="7">'1461'!$A$3</definedName>
    <definedName name="Based_on_the_Second_Calculation_of_the_FEFP_2010_11" localSheetId="8">'1571'!$A$3</definedName>
    <definedName name="Based_on_the_Second_Calculation_of_the_FEFP_2010_11" localSheetId="9">'2521'!$A$3</definedName>
    <definedName name="Based_on_the_Second_Calculation_of_the_FEFP_2010_11" localSheetId="10">'2531'!$A$3</definedName>
    <definedName name="Based_on_the_Second_Calculation_of_the_FEFP_2010_11" localSheetId="11">'2791'!$A$3</definedName>
    <definedName name="Based_on_the_Second_Calculation_of_the_FEFP_2010_11" localSheetId="12">'2801'!$A$3</definedName>
    <definedName name="Based_on_the_Second_Calculation_of_the_FEFP_2010_11" localSheetId="13">'2911'!$A$3</definedName>
    <definedName name="Based_on_the_Second_Calculation_of_the_FEFP_2010_11" localSheetId="14">'2941'!$A$3</definedName>
    <definedName name="Based_on_the_Second_Calculation_of_the_FEFP_2010_11" localSheetId="15">'3083'!$A$3</definedName>
    <definedName name="Based_on_the_Second_Calculation_of_the_FEFP_2010_11" localSheetId="16">'3345'!$A$3</definedName>
    <definedName name="Based_on_the_Second_Calculation_of_the_FEFP_2010_11" localSheetId="17">'3381'!$A$3</definedName>
    <definedName name="Based_on_the_Second_Calculation_of_the_FEFP_2010_11" localSheetId="18">'3382'!$A$3</definedName>
    <definedName name="Based_on_the_Second_Calculation_of_the_FEFP_2010_11" localSheetId="19">'3391'!$A$3</definedName>
    <definedName name="Based_on_the_Second_Calculation_of_the_FEFP_2010_11" localSheetId="20">'3394'!$A$3</definedName>
    <definedName name="Based_on_the_Second_Calculation_of_the_FEFP_2010_11" localSheetId="21">'3395'!$A$3</definedName>
    <definedName name="Based_on_the_Second_Calculation_of_the_FEFP_2010_11" localSheetId="22">'3396'!$A$3</definedName>
    <definedName name="Based_on_the_Second_Calculation_of_the_FEFP_2010_11" localSheetId="23">'3398'!$A$3</definedName>
    <definedName name="Based_on_the_Second_Calculation_of_the_FEFP_2010_11" localSheetId="24">'3400'!$A$3</definedName>
    <definedName name="Based_on_the_Second_Calculation_of_the_FEFP_2010_11" localSheetId="25">'3401'!$A$3</definedName>
    <definedName name="Based_on_the_Second_Calculation_of_the_FEFP_2010_11" localSheetId="26">'3413'!$A$3</definedName>
    <definedName name="Based_on_the_Second_Calculation_of_the_FEFP_2010_11" localSheetId="27">'3421'!$A$3</definedName>
    <definedName name="Based_on_the_Second_Calculation_of_the_FEFP_2010_11" localSheetId="28">'3431'!$A$3</definedName>
    <definedName name="Based_on_the_Second_Calculation_of_the_FEFP_2010_11" localSheetId="29">'3441'!$A$3</definedName>
    <definedName name="Based_on_the_Second_Calculation_of_the_FEFP_2010_11" localSheetId="30">'3924'!$A$3</definedName>
    <definedName name="Based_on_the_Second_Calculation_of_the_FEFP_2010_11" localSheetId="31">'3941'!$A$3</definedName>
    <definedName name="Based_on_the_Second_Calculation_of_the_FEFP_2010_11" localSheetId="32">'3961'!$A$3</definedName>
    <definedName name="Based_on_the_Second_Calculation_of_the_FEFP_2010_11" localSheetId="33">'3971'!$A$3</definedName>
    <definedName name="Based_on_the_Second_Calculation_of_the_FEFP_2010_11" localSheetId="34">'4001'!$A$3</definedName>
    <definedName name="Based_on_the_Second_Calculation_of_the_FEFP_2010_11" localSheetId="35">'4002'!$A$3</definedName>
    <definedName name="Based_on_the_Second_Calculation_of_the_FEFP_2010_11" localSheetId="36">'4012'!$A$3</definedName>
    <definedName name="Based_on_the_Second_Calculation_of_the_FEFP_2010_11" localSheetId="37">'4013'!$A$3</definedName>
    <definedName name="Based_on_the_Second_Calculation_of_the_FEFP_2010_11" localSheetId="38">'4020'!$A$3</definedName>
    <definedName name="Based_on_the_Second_Calculation_of_the_FEFP_2010_11" localSheetId="39">'4030'!$A$3</definedName>
    <definedName name="Based_on_the_Second_Calculation_of_the_FEFP_2010_11" localSheetId="40">'4031'!$A$3</definedName>
    <definedName name="Based_on_the_Second_Calculation_of_the_FEFP_2010_11" localSheetId="41">'4041'!$A$3</definedName>
    <definedName name="Based_on_the_Second_Calculation_of_the_FEFP_2010_11" localSheetId="42">'4050'!$A$3</definedName>
    <definedName name="Based_on_the_Second_Calculation_of_the_FEFP_2010_11" localSheetId="43">'4051'!$A$3</definedName>
    <definedName name="Based_on_the_Second_Calculation_of_the_FEFP_2010_11" localSheetId="44">'4061'!$A$3</definedName>
    <definedName name="Based_on_the_Second_Calculation_of_the_FEFP_2010_11" localSheetId="45">'4080'!$A$3</definedName>
    <definedName name="Based_on_the_Second_Calculation_of_the_FEFP_2010_11" localSheetId="46">'4081'!$A$3</definedName>
    <definedName name="Based_on_the_Second_Calculation_of_the_FEFP_2010_11" localSheetId="47">'4090'!$A$3</definedName>
    <definedName name="Based_on_the_Second_Calculation_of_the_FEFP_2010_11" localSheetId="48">'4091'!$A$3</definedName>
    <definedName name="Based_on_the_Second_Calculation_of_the_FEFP_2010_11" localSheetId="49">'4100'!$A$3</definedName>
    <definedName name="Based_on_the_Second_Calculation_of_the_FEFP_2010_11" localSheetId="50">'4102'!$A$3</definedName>
    <definedName name="Based_on_the_Second_Calculation_of_the_FEFP_2010_11" localSheetId="51">'4103'!$A$3</definedName>
    <definedName name="Based_on_the_Second_Calculation_of_the_FEFP_2010_11" localSheetId="52">'4111'!$A$3</definedName>
    <definedName name="Based_on_the_Second_Calculation_of_the_FEFP_2010_11" localSheetId="53">'4131'!$A$3</definedName>
    <definedName name="Based_on_the_Second_Calculation_of_the_FEFP_2010_11">'0040'!$A$3</definedName>
    <definedName name="Bay">#REF!</definedName>
    <definedName name="Bradford">#REF!</definedName>
    <definedName name="Brevard">#REF!</definedName>
    <definedName name="Broward">#REF!</definedName>
    <definedName name="Calhoun">#REF!</definedName>
    <definedName name="CAP" localSheetId="5" hidden="1">{#N/A,#N/A,FALSE,"Summation";#N/A,#N/A,FALSE,"BSA";#N/A,#N/A,FALSE,"Detail1";#N/A,#N/A,FALSE,"Detail2";#N/A,#N/A,FALSE,"Detail3";#N/A,#N/A,FALSE,"WFTE_Summary";#N/A,#N/A,FALSE,"Funded_WFTE";#N/A,#N/A,FALSE,"PYADJ96"}</definedName>
    <definedName name="CAP" localSheetId="6" hidden="1">{#N/A,#N/A,FALSE,"Summation";#N/A,#N/A,FALSE,"BSA";#N/A,#N/A,FALSE,"Detail1";#N/A,#N/A,FALSE,"Detail2";#N/A,#N/A,FALSE,"Detail3";#N/A,#N/A,FALSE,"WFTE_Summary";#N/A,#N/A,FALSE,"Funded_WFTE";#N/A,#N/A,FALSE,"PYADJ96"}</definedName>
    <definedName name="CAP" localSheetId="7" hidden="1">{#N/A,#N/A,FALSE,"Summation";#N/A,#N/A,FALSE,"BSA";#N/A,#N/A,FALSE,"Detail1";#N/A,#N/A,FALSE,"Detail2";#N/A,#N/A,FALSE,"Detail3";#N/A,#N/A,FALSE,"WFTE_Summary";#N/A,#N/A,FALSE,"Funded_WFTE";#N/A,#N/A,FALSE,"PYADJ96"}</definedName>
    <definedName name="CAP" localSheetId="8"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1"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3"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localSheetId="0"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Charlotte">#REF!</definedName>
    <definedName name="Citrus">#REF!</definedName>
    <definedName name="Clay">#REF!</definedName>
    <definedName name="Collier">#REF!</definedName>
    <definedName name="Columbia">#REF!</definedName>
    <definedName name="d_grp1">#REF!</definedName>
    <definedName name="DCD" localSheetId="6">'0100'!$D$89</definedName>
    <definedName name="DCD" localSheetId="7">'1461'!$D$89</definedName>
    <definedName name="DCD" localSheetId="8">'1571'!$D$89</definedName>
    <definedName name="DCD" localSheetId="9">'2521'!$D$89</definedName>
    <definedName name="DCD" localSheetId="10">'2531'!$D$89</definedName>
    <definedName name="DCD" localSheetId="11">'2791'!$D$89</definedName>
    <definedName name="DCD" localSheetId="12">'2801'!$D$89</definedName>
    <definedName name="DCD" localSheetId="13">'2911'!$D$89</definedName>
    <definedName name="DCD" localSheetId="14">'2941'!$D$89</definedName>
    <definedName name="DCD" localSheetId="15">'3083'!$D$89</definedName>
    <definedName name="DCD" localSheetId="16">'3345'!$D$89</definedName>
    <definedName name="DCD" localSheetId="17">'3381'!$D$89</definedName>
    <definedName name="DCD" localSheetId="18">'3382'!$D$89</definedName>
    <definedName name="DCD" localSheetId="19">'3391'!$D$89</definedName>
    <definedName name="DCD" localSheetId="20">'3394'!$D$89</definedName>
    <definedName name="DCD" localSheetId="21">'3395'!$D$89</definedName>
    <definedName name="DCD" localSheetId="22">'3396'!$D$89</definedName>
    <definedName name="DCD" localSheetId="23">'3398'!$D$89</definedName>
    <definedName name="DCD" localSheetId="24">'3400'!$D$89</definedName>
    <definedName name="DCD" localSheetId="25">'3401'!$D$89</definedName>
    <definedName name="DCD" localSheetId="26">'3413'!$D$89</definedName>
    <definedName name="DCD" localSheetId="27">'3421'!$D$89</definedName>
    <definedName name="DCD" localSheetId="28">'3431'!$D$89</definedName>
    <definedName name="DCD" localSheetId="29">'3441'!$D$89</definedName>
    <definedName name="DCD" localSheetId="30">'3924'!$D$89</definedName>
    <definedName name="DCD" localSheetId="31">'3941'!$D$89</definedName>
    <definedName name="DCD" localSheetId="32">'3961'!$D$89</definedName>
    <definedName name="DCD" localSheetId="33">'3971'!$D$89</definedName>
    <definedName name="DCD" localSheetId="34">'4001'!$D$89</definedName>
    <definedName name="DCD" localSheetId="35">'4002'!$D$89</definedName>
    <definedName name="DCD" localSheetId="36">'4012'!$D$89</definedName>
    <definedName name="DCD" localSheetId="37">'4013'!$D$89</definedName>
    <definedName name="DCD" localSheetId="38">'4020'!$D$89</definedName>
    <definedName name="DCD" localSheetId="39">'4030'!$D$89</definedName>
    <definedName name="DCD" localSheetId="40">'4031'!$D$89</definedName>
    <definedName name="DCD" localSheetId="41">'4041'!$D$89</definedName>
    <definedName name="DCD" localSheetId="42">'4050'!$D$89</definedName>
    <definedName name="DCD" localSheetId="43">'4051'!$D$89</definedName>
    <definedName name="DCD" localSheetId="44">'4061'!$D$89</definedName>
    <definedName name="DCD" localSheetId="45">'4080'!$D$89</definedName>
    <definedName name="DCD" localSheetId="46">'4081'!$D$89</definedName>
    <definedName name="DCD" localSheetId="47">'4090'!$D$89</definedName>
    <definedName name="DCD" localSheetId="48">'4091'!$D$89</definedName>
    <definedName name="DCD" localSheetId="49">'4100'!$D$89</definedName>
    <definedName name="DCD" localSheetId="50">'4102'!$D$89</definedName>
    <definedName name="DCD" localSheetId="51">'4103'!$D$89</definedName>
    <definedName name="DCD" localSheetId="52">'4111'!$D$89</definedName>
    <definedName name="DCD" localSheetId="53">'4131'!$D$89</definedName>
    <definedName name="DCD">'0040'!$D$89</definedName>
    <definedName name="Declining_Enrollment_Supplement">'[1]Detail 2025-26 FEFP Second'!#REF!</definedName>
    <definedName name="DeSoto">#REF!</definedName>
    <definedName name="Discretionary__Lottery__District_Discretionary_Funds">'[1]Detail 2025-26 FEFP Second'!#REF!</definedName>
    <definedName name="Discretionary_Tax_Compression_0.25_mills">'[1]Detail 2025-26 FEFP Second'!#REF!</definedName>
    <definedName name="District_Cost_Differential" localSheetId="6">'0100'!$G$6</definedName>
    <definedName name="District_Cost_Differential" localSheetId="7">'1461'!$G$6</definedName>
    <definedName name="District_Cost_Differential" localSheetId="8">'1571'!$G$6</definedName>
    <definedName name="District_Cost_Differential" localSheetId="9">'2521'!$G$6</definedName>
    <definedName name="District_Cost_Differential" localSheetId="10">'2531'!$G$6</definedName>
    <definedName name="District_Cost_Differential" localSheetId="11">'2791'!$G$6</definedName>
    <definedName name="District_Cost_Differential" localSheetId="12">'2801'!$G$6</definedName>
    <definedName name="District_Cost_Differential" localSheetId="13">'2911'!$G$6</definedName>
    <definedName name="District_Cost_Differential" localSheetId="14">'2941'!$G$6</definedName>
    <definedName name="District_Cost_Differential" localSheetId="15">'3083'!$G$6</definedName>
    <definedName name="District_Cost_Differential" localSheetId="16">'3345'!$G$6</definedName>
    <definedName name="District_Cost_Differential" localSheetId="17">'3381'!$G$6</definedName>
    <definedName name="District_Cost_Differential" localSheetId="18">'3382'!$G$6</definedName>
    <definedName name="District_Cost_Differential" localSheetId="19">'3391'!$G$6</definedName>
    <definedName name="District_Cost_Differential" localSheetId="20">'3394'!$G$6</definedName>
    <definedName name="District_Cost_Differential" localSheetId="21">'3395'!$G$6</definedName>
    <definedName name="District_Cost_Differential" localSheetId="22">'3396'!$G$6</definedName>
    <definedName name="District_Cost_Differential" localSheetId="23">'3398'!$G$6</definedName>
    <definedName name="District_Cost_Differential" localSheetId="24">'3400'!$G$6</definedName>
    <definedName name="District_Cost_Differential" localSheetId="25">'3401'!$G$6</definedName>
    <definedName name="District_Cost_Differential" localSheetId="26">'3413'!$G$6</definedName>
    <definedName name="District_Cost_Differential" localSheetId="27">'3421'!$G$6</definedName>
    <definedName name="District_Cost_Differential" localSheetId="28">'3431'!$G$6</definedName>
    <definedName name="District_Cost_Differential" localSheetId="29">'3441'!$G$6</definedName>
    <definedName name="District_Cost_Differential" localSheetId="30">'3924'!$G$6</definedName>
    <definedName name="District_Cost_Differential" localSheetId="31">'3941'!$G$6</definedName>
    <definedName name="District_Cost_Differential" localSheetId="32">'3961'!$G$6</definedName>
    <definedName name="District_Cost_Differential" localSheetId="33">'3971'!$G$6</definedName>
    <definedName name="District_Cost_Differential" localSheetId="34">'4001'!$G$6</definedName>
    <definedName name="District_Cost_Differential" localSheetId="35">'4002'!$G$6</definedName>
    <definedName name="District_Cost_Differential" localSheetId="36">'4012'!$G$6</definedName>
    <definedName name="District_Cost_Differential" localSheetId="37">'4013'!$G$6</definedName>
    <definedName name="District_Cost_Differential" localSheetId="38">'4020'!$G$6</definedName>
    <definedName name="District_Cost_Differential" localSheetId="39">'4030'!$G$6</definedName>
    <definedName name="District_Cost_Differential" localSheetId="40">'4031'!$G$6</definedName>
    <definedName name="District_Cost_Differential" localSheetId="41">'4041'!$G$6</definedName>
    <definedName name="District_Cost_Differential" localSheetId="42">'4050'!$G$6</definedName>
    <definedName name="District_Cost_Differential" localSheetId="43">'4051'!$G$6</definedName>
    <definedName name="District_Cost_Differential" localSheetId="44">'4061'!$G$6</definedName>
    <definedName name="District_Cost_Differential" localSheetId="45">'4080'!$G$6</definedName>
    <definedName name="District_Cost_Differential" localSheetId="46">'4081'!$G$6</definedName>
    <definedName name="District_Cost_Differential" localSheetId="47">'4090'!$G$6</definedName>
    <definedName name="District_Cost_Differential" localSheetId="48">'4091'!$G$6</definedName>
    <definedName name="District_Cost_Differential" localSheetId="49">'4100'!$G$6</definedName>
    <definedName name="District_Cost_Differential" localSheetId="50">'4102'!$G$6</definedName>
    <definedName name="District_Cost_Differential" localSheetId="51">'4103'!$G$6</definedName>
    <definedName name="District_Cost_Differential" localSheetId="52">'4111'!$G$6</definedName>
    <definedName name="District_Cost_Differential" localSheetId="53">'4131'!$G$6</definedName>
    <definedName name="District_Cost_Differential">'0040'!$G$6</definedName>
    <definedName name="District_SAI_Allocation" localSheetId="6">'0100'!#REF!</definedName>
    <definedName name="District_SAI_Allocation" localSheetId="7">'1461'!#REF!</definedName>
    <definedName name="District_SAI_Allocation" localSheetId="8">'1571'!#REF!</definedName>
    <definedName name="District_SAI_Allocation" localSheetId="9">'2521'!#REF!</definedName>
    <definedName name="District_SAI_Allocation" localSheetId="10">'2531'!#REF!</definedName>
    <definedName name="District_SAI_Allocation" localSheetId="11">'2791'!#REF!</definedName>
    <definedName name="District_SAI_Allocation" localSheetId="12">'2801'!#REF!</definedName>
    <definedName name="District_SAI_Allocation" localSheetId="13">'2911'!#REF!</definedName>
    <definedName name="District_SAI_Allocation" localSheetId="14">'2941'!#REF!</definedName>
    <definedName name="District_SAI_Allocation" localSheetId="15">'3083'!#REF!</definedName>
    <definedName name="District_SAI_Allocation" localSheetId="16">'3345'!#REF!</definedName>
    <definedName name="District_SAI_Allocation" localSheetId="17">'3381'!#REF!</definedName>
    <definedName name="District_SAI_Allocation" localSheetId="18">'3382'!#REF!</definedName>
    <definedName name="District_SAI_Allocation" localSheetId="19">'3391'!#REF!</definedName>
    <definedName name="District_SAI_Allocation" localSheetId="20">'3394'!#REF!</definedName>
    <definedName name="District_SAI_Allocation" localSheetId="21">'3395'!#REF!</definedName>
    <definedName name="District_SAI_Allocation" localSheetId="22">'3396'!#REF!</definedName>
    <definedName name="District_SAI_Allocation" localSheetId="23">'3398'!#REF!</definedName>
    <definedName name="District_SAI_Allocation" localSheetId="24">'3400'!#REF!</definedName>
    <definedName name="District_SAI_Allocation" localSheetId="25">'3401'!#REF!</definedName>
    <definedName name="District_SAI_Allocation" localSheetId="26">'3413'!#REF!</definedName>
    <definedName name="District_SAI_Allocation" localSheetId="27">'3421'!#REF!</definedName>
    <definedName name="District_SAI_Allocation" localSheetId="28">'3431'!#REF!</definedName>
    <definedName name="District_SAI_Allocation" localSheetId="29">'3441'!#REF!</definedName>
    <definedName name="District_SAI_Allocation" localSheetId="30">'3924'!#REF!</definedName>
    <definedName name="District_SAI_Allocation" localSheetId="31">'3941'!#REF!</definedName>
    <definedName name="District_SAI_Allocation" localSheetId="32">'3961'!#REF!</definedName>
    <definedName name="District_SAI_Allocation" localSheetId="33">'3971'!#REF!</definedName>
    <definedName name="District_SAI_Allocation" localSheetId="34">'4001'!#REF!</definedName>
    <definedName name="District_SAI_Allocation" localSheetId="35">'4002'!#REF!</definedName>
    <definedName name="District_SAI_Allocation" localSheetId="36">'4012'!#REF!</definedName>
    <definedName name="District_SAI_Allocation" localSheetId="37">'4013'!#REF!</definedName>
    <definedName name="District_SAI_Allocation" localSheetId="38">'4020'!#REF!</definedName>
    <definedName name="District_SAI_Allocation" localSheetId="39">'4030'!#REF!</definedName>
    <definedName name="District_SAI_Allocation" localSheetId="40">'4031'!#REF!</definedName>
    <definedName name="District_SAI_Allocation" localSheetId="41">'4041'!#REF!</definedName>
    <definedName name="District_SAI_Allocation" localSheetId="42">'4050'!#REF!</definedName>
    <definedName name="District_SAI_Allocation" localSheetId="43">'4051'!#REF!</definedName>
    <definedName name="District_SAI_Allocation" localSheetId="44">'4061'!#REF!</definedName>
    <definedName name="District_SAI_Allocation" localSheetId="45">'4080'!#REF!</definedName>
    <definedName name="District_SAI_Allocation" localSheetId="46">'4081'!#REF!</definedName>
    <definedName name="District_SAI_Allocation" localSheetId="47">'4090'!#REF!</definedName>
    <definedName name="District_SAI_Allocation" localSheetId="48">'4091'!#REF!</definedName>
    <definedName name="District_SAI_Allocation" localSheetId="49">'4100'!#REF!</definedName>
    <definedName name="District_SAI_Allocation" localSheetId="50">'4102'!#REF!</definedName>
    <definedName name="District_SAI_Allocation" localSheetId="51">'4103'!#REF!</definedName>
    <definedName name="District_SAI_Allocation" localSheetId="52">'4111'!#REF!</definedName>
    <definedName name="District_SAI_Allocation" localSheetId="53">'4131'!#REF!</definedName>
    <definedName name="District_SAI_Allocation">'0040'!#REF!</definedName>
    <definedName name="Districts">#REF!</definedName>
    <definedName name="divided_by_district_FTE" localSheetId="6">'0100'!#REF!</definedName>
    <definedName name="divided_by_district_FTE" localSheetId="7">'1461'!#REF!</definedName>
    <definedName name="divided_by_district_FTE" localSheetId="8">'1571'!#REF!</definedName>
    <definedName name="divided_by_district_FTE" localSheetId="9">'2521'!#REF!</definedName>
    <definedName name="divided_by_district_FTE" localSheetId="10">'2531'!#REF!</definedName>
    <definedName name="divided_by_district_FTE" localSheetId="11">'2791'!#REF!</definedName>
    <definedName name="divided_by_district_FTE" localSheetId="12">'2801'!#REF!</definedName>
    <definedName name="divided_by_district_FTE" localSheetId="13">'2911'!#REF!</definedName>
    <definedName name="divided_by_district_FTE" localSheetId="14">'2941'!#REF!</definedName>
    <definedName name="divided_by_district_FTE" localSheetId="15">'3083'!#REF!</definedName>
    <definedName name="divided_by_district_FTE" localSheetId="16">'3345'!#REF!</definedName>
    <definedName name="divided_by_district_FTE" localSheetId="17">'3381'!#REF!</definedName>
    <definedName name="divided_by_district_FTE" localSheetId="18">'3382'!#REF!</definedName>
    <definedName name="divided_by_district_FTE" localSheetId="19">'3391'!#REF!</definedName>
    <definedName name="divided_by_district_FTE" localSheetId="20">'3394'!#REF!</definedName>
    <definedName name="divided_by_district_FTE" localSheetId="21">'3395'!#REF!</definedName>
    <definedName name="divided_by_district_FTE" localSheetId="22">'3396'!#REF!</definedName>
    <definedName name="divided_by_district_FTE" localSheetId="23">'3398'!#REF!</definedName>
    <definedName name="divided_by_district_FTE" localSheetId="24">'3400'!#REF!</definedName>
    <definedName name="divided_by_district_FTE" localSheetId="25">'3401'!#REF!</definedName>
    <definedName name="divided_by_district_FTE" localSheetId="26">'3413'!#REF!</definedName>
    <definedName name="divided_by_district_FTE" localSheetId="27">'3421'!#REF!</definedName>
    <definedName name="divided_by_district_FTE" localSheetId="28">'3431'!#REF!</definedName>
    <definedName name="divided_by_district_FTE" localSheetId="29">'3441'!#REF!</definedName>
    <definedName name="divided_by_district_FTE" localSheetId="30">'3924'!#REF!</definedName>
    <definedName name="divided_by_district_FTE" localSheetId="31">'3941'!#REF!</definedName>
    <definedName name="divided_by_district_FTE" localSheetId="32">'3961'!#REF!</definedName>
    <definedName name="divided_by_district_FTE" localSheetId="33">'3971'!#REF!</definedName>
    <definedName name="divided_by_district_FTE" localSheetId="34">'4001'!#REF!</definedName>
    <definedName name="divided_by_district_FTE" localSheetId="35">'4002'!#REF!</definedName>
    <definedName name="divided_by_district_FTE" localSheetId="36">'4012'!#REF!</definedName>
    <definedName name="divided_by_district_FTE" localSheetId="37">'4013'!#REF!</definedName>
    <definedName name="divided_by_district_FTE" localSheetId="38">'4020'!#REF!</definedName>
    <definedName name="divided_by_district_FTE" localSheetId="39">'4030'!#REF!</definedName>
    <definedName name="divided_by_district_FTE" localSheetId="40">'4031'!#REF!</definedName>
    <definedName name="divided_by_district_FTE" localSheetId="41">'4041'!#REF!</definedName>
    <definedName name="divided_by_district_FTE" localSheetId="42">'4050'!#REF!</definedName>
    <definedName name="divided_by_district_FTE" localSheetId="43">'4051'!#REF!</definedName>
    <definedName name="divided_by_district_FTE" localSheetId="44">'4061'!#REF!</definedName>
    <definedName name="divided_by_district_FTE" localSheetId="45">'4080'!#REF!</definedName>
    <definedName name="divided_by_district_FTE" localSheetId="46">'4081'!#REF!</definedName>
    <definedName name="divided_by_district_FTE" localSheetId="47">'4090'!#REF!</definedName>
    <definedName name="divided_by_district_FTE" localSheetId="48">'4091'!#REF!</definedName>
    <definedName name="divided_by_district_FTE" localSheetId="49">'4100'!#REF!</definedName>
    <definedName name="divided_by_district_FTE" localSheetId="50">'4102'!#REF!</definedName>
    <definedName name="divided_by_district_FTE" localSheetId="51">'4103'!#REF!</definedName>
    <definedName name="divided_by_district_FTE" localSheetId="52">'4111'!#REF!</definedName>
    <definedName name="divided_by_district_FTE" localSheetId="53">'4131'!#REF!</definedName>
    <definedName name="divided_by_district_FTE">'0040'!#REF!</definedName>
    <definedName name="Dixie">#REF!</definedName>
    <definedName name="Dual_Enrollment_Allocation">'[1]Detail 2025-26 FEFP Second'!#REF!</definedName>
    <definedName name="Duval">#REF!</definedName>
    <definedName name="Equal_Percent_Adjustment">'[1]Detail 2025-26 FEFP Second'!#REF!</definedName>
    <definedName name="Escambia">#REF!</definedName>
    <definedName name="ESE_Guaranteed_Allocation_Dollars">'[1]Detail 2025-26 FEFP Second'!#REF!</definedName>
    <definedName name="ESE_Guaranteed_Factor_Minimum_of__1_951.26">'[1]Detail 2025-26 FEFP Second'!#REF!</definedName>
    <definedName name="ESE_LEVEL_1">#REF!</definedName>
    <definedName name="ESE_LEVEL_1_Program_111__Grades_K_3">#REF!</definedName>
    <definedName name="ESE_LEVEL_1_Program_112__Grades_4_8">#REF!</definedName>
    <definedName name="ESE_LEVEL_1_Program_113__Grades_9_12">#REF!</definedName>
    <definedName name="ESE_LEVEL_2_Program_111__Grades_K_3">#REF!</definedName>
    <definedName name="ESE_LEVEL_2_Program_112__Grades_4_8">#REF!</definedName>
    <definedName name="ESE_LEVEL_2_Program_113__Grades_9_12">#REF!</definedName>
    <definedName name="ESE_LEVEL_3_Program_111__Grades_K_3">#REF!</definedName>
    <definedName name="ESE_LEVEL_3_Program_112__Grades_4_8">#REF!</definedName>
    <definedName name="ESE_LEVEL_3_Program_113__Grades_9_12">#REF!</definedName>
    <definedName name="ESE_Program_111__Grades_K_3">#REF!</definedName>
    <definedName name="FAMU_Lab_School">#REF!</definedName>
    <definedName name="FAU_Lab_School">#REF!</definedName>
    <definedName name="FAU_St._Lucie">#REF!</definedName>
    <definedName name="Fl_Virtual_School">#REF!</definedName>
    <definedName name="Flagler">#REF!</definedName>
    <definedName name="Franklin">#REF!</definedName>
    <definedName name="FSU_Lab_Broward">#REF!</definedName>
    <definedName name="FSU_Lab_Leon">#REF!</definedName>
    <definedName name="FTE" localSheetId="6">'0100'!#REF!</definedName>
    <definedName name="FTE" localSheetId="7">'1461'!#REF!</definedName>
    <definedName name="FTE" localSheetId="8">'1571'!#REF!</definedName>
    <definedName name="FTE" localSheetId="9">'2521'!#REF!</definedName>
    <definedName name="FTE" localSheetId="10">'2531'!#REF!</definedName>
    <definedName name="FTE" localSheetId="11">'2791'!#REF!</definedName>
    <definedName name="FTE" localSheetId="12">'2801'!#REF!</definedName>
    <definedName name="FTE" localSheetId="13">'2911'!#REF!</definedName>
    <definedName name="FTE" localSheetId="14">'2941'!#REF!</definedName>
    <definedName name="FTE" localSheetId="15">'3083'!#REF!</definedName>
    <definedName name="FTE" localSheetId="16">'3345'!#REF!</definedName>
    <definedName name="FTE" localSheetId="17">'3381'!#REF!</definedName>
    <definedName name="FTE" localSheetId="18">'3382'!#REF!</definedName>
    <definedName name="FTE" localSheetId="19">'3391'!#REF!</definedName>
    <definedName name="FTE" localSheetId="20">'3394'!#REF!</definedName>
    <definedName name="FTE" localSheetId="21">'3395'!#REF!</definedName>
    <definedName name="FTE" localSheetId="22">'3396'!#REF!</definedName>
    <definedName name="FTE" localSheetId="23">'3398'!#REF!</definedName>
    <definedName name="FTE" localSheetId="24">'3400'!#REF!</definedName>
    <definedName name="FTE" localSheetId="25">'3401'!#REF!</definedName>
    <definedName name="FTE" localSheetId="26">'3413'!#REF!</definedName>
    <definedName name="FTE" localSheetId="27">'3421'!#REF!</definedName>
    <definedName name="FTE" localSheetId="28">'3431'!#REF!</definedName>
    <definedName name="FTE" localSheetId="29">'3441'!#REF!</definedName>
    <definedName name="FTE" localSheetId="30">'3924'!#REF!</definedName>
    <definedName name="FTE" localSheetId="31">'3941'!#REF!</definedName>
    <definedName name="FTE" localSheetId="32">'3961'!#REF!</definedName>
    <definedName name="FTE" localSheetId="33">'3971'!#REF!</definedName>
    <definedName name="FTE" localSheetId="34">'4001'!#REF!</definedName>
    <definedName name="FTE" localSheetId="35">'4002'!#REF!</definedName>
    <definedName name="FTE" localSheetId="36">'4012'!#REF!</definedName>
    <definedName name="FTE" localSheetId="37">'4013'!#REF!</definedName>
    <definedName name="FTE" localSheetId="38">'4020'!#REF!</definedName>
    <definedName name="FTE" localSheetId="39">'4030'!#REF!</definedName>
    <definedName name="FTE" localSheetId="40">'4031'!#REF!</definedName>
    <definedName name="FTE" localSheetId="41">'4041'!#REF!</definedName>
    <definedName name="FTE" localSheetId="42">'4050'!#REF!</definedName>
    <definedName name="FTE" localSheetId="43">'4051'!#REF!</definedName>
    <definedName name="FTE" localSheetId="44">'4061'!#REF!</definedName>
    <definedName name="FTE" localSheetId="45">'4080'!#REF!</definedName>
    <definedName name="FTE" localSheetId="46">'4081'!#REF!</definedName>
    <definedName name="FTE" localSheetId="47">'4090'!#REF!</definedName>
    <definedName name="FTE" localSheetId="48">'4091'!#REF!</definedName>
    <definedName name="FTE" localSheetId="49">'4100'!#REF!</definedName>
    <definedName name="FTE" localSheetId="50">'4102'!#REF!</definedName>
    <definedName name="FTE" localSheetId="51">'4103'!#REF!</definedName>
    <definedName name="FTE" localSheetId="52">'4111'!#REF!</definedName>
    <definedName name="FTE" localSheetId="53">'4131'!#REF!</definedName>
    <definedName name="FTE">'0040'!#REF!</definedName>
    <definedName name="Gadsden">#REF!</definedName>
    <definedName name="Gilchrist">#REF!</definedName>
    <definedName name="Glades">#REF!</definedName>
    <definedName name="Grade_Level" localSheetId="6">'0100'!#REF!</definedName>
    <definedName name="Grade_Level" localSheetId="7">'1461'!#REF!</definedName>
    <definedName name="Grade_Level" localSheetId="8">'1571'!#REF!</definedName>
    <definedName name="Grade_Level" localSheetId="9">'2521'!#REF!</definedName>
    <definedName name="Grade_Level" localSheetId="10">'2531'!#REF!</definedName>
    <definedName name="Grade_Level" localSheetId="11">'2791'!#REF!</definedName>
    <definedName name="Grade_Level" localSheetId="12">'2801'!#REF!</definedName>
    <definedName name="Grade_Level" localSheetId="13">'2911'!#REF!</definedName>
    <definedName name="Grade_Level" localSheetId="14">'2941'!#REF!</definedName>
    <definedName name="Grade_Level" localSheetId="15">'3083'!#REF!</definedName>
    <definedName name="Grade_Level" localSheetId="16">'3345'!#REF!</definedName>
    <definedName name="Grade_Level" localSheetId="17">'3381'!#REF!</definedName>
    <definedName name="Grade_Level" localSheetId="18">'3382'!#REF!</definedName>
    <definedName name="Grade_Level" localSheetId="19">'3391'!#REF!</definedName>
    <definedName name="Grade_Level" localSheetId="20">'3394'!#REF!</definedName>
    <definedName name="Grade_Level" localSheetId="21">'3395'!#REF!</definedName>
    <definedName name="Grade_Level" localSheetId="22">'3396'!#REF!</definedName>
    <definedName name="Grade_Level" localSheetId="23">'3398'!#REF!</definedName>
    <definedName name="Grade_Level" localSheetId="24">'3400'!#REF!</definedName>
    <definedName name="Grade_Level" localSheetId="25">'3401'!#REF!</definedName>
    <definedName name="Grade_Level" localSheetId="26">'3413'!#REF!</definedName>
    <definedName name="Grade_Level" localSheetId="27">'3421'!#REF!</definedName>
    <definedName name="Grade_Level" localSheetId="28">'3431'!#REF!</definedName>
    <definedName name="Grade_Level" localSheetId="29">'3441'!#REF!</definedName>
    <definedName name="Grade_Level" localSheetId="30">'3924'!#REF!</definedName>
    <definedName name="Grade_Level" localSheetId="31">'3941'!#REF!</definedName>
    <definedName name="Grade_Level" localSheetId="32">'3961'!#REF!</definedName>
    <definedName name="Grade_Level" localSheetId="33">'3971'!#REF!</definedName>
    <definedName name="Grade_Level" localSheetId="34">'4001'!#REF!</definedName>
    <definedName name="Grade_Level" localSheetId="35">'4002'!#REF!</definedName>
    <definedName name="Grade_Level" localSheetId="36">'4012'!#REF!</definedName>
    <definedName name="Grade_Level" localSheetId="37">'4013'!#REF!</definedName>
    <definedName name="Grade_Level" localSheetId="38">'4020'!#REF!</definedName>
    <definedName name="Grade_Level" localSheetId="39">'4030'!#REF!</definedName>
    <definedName name="Grade_Level" localSheetId="40">'4031'!#REF!</definedName>
    <definedName name="Grade_Level" localSheetId="41">'4041'!#REF!</definedName>
    <definedName name="Grade_Level" localSheetId="42">'4050'!#REF!</definedName>
    <definedName name="Grade_Level" localSheetId="43">'4051'!#REF!</definedName>
    <definedName name="Grade_Level" localSheetId="44">'4061'!#REF!</definedName>
    <definedName name="Grade_Level" localSheetId="45">'4080'!#REF!</definedName>
    <definedName name="Grade_Level" localSheetId="46">'4081'!#REF!</definedName>
    <definedName name="Grade_Level" localSheetId="47">'4090'!#REF!</definedName>
    <definedName name="Grade_Level" localSheetId="48">'4091'!#REF!</definedName>
    <definedName name="Grade_Level" localSheetId="49">'4100'!#REF!</definedName>
    <definedName name="Grade_Level" localSheetId="50">'4102'!#REF!</definedName>
    <definedName name="Grade_Level" localSheetId="51">'4103'!#REF!</definedName>
    <definedName name="Grade_Level" localSheetId="52">'4111'!#REF!</definedName>
    <definedName name="Grade_Level" localSheetId="53">'4131'!#REF!</definedName>
    <definedName name="Grade_Level">'0040'!#REF!</definedName>
    <definedName name="Guarantee_Per_Student" localSheetId="6">'0100'!#REF!</definedName>
    <definedName name="Guarantee_Per_Student" localSheetId="7">'1461'!#REF!</definedName>
    <definedName name="Guarantee_Per_Student" localSheetId="8">'1571'!#REF!</definedName>
    <definedName name="Guarantee_Per_Student" localSheetId="9">'2521'!#REF!</definedName>
    <definedName name="Guarantee_Per_Student" localSheetId="10">'2531'!#REF!</definedName>
    <definedName name="Guarantee_Per_Student" localSheetId="11">'2791'!#REF!</definedName>
    <definedName name="Guarantee_Per_Student" localSheetId="12">'2801'!#REF!</definedName>
    <definedName name="Guarantee_Per_Student" localSheetId="13">'2911'!#REF!</definedName>
    <definedName name="Guarantee_Per_Student" localSheetId="14">'2941'!#REF!</definedName>
    <definedName name="Guarantee_Per_Student" localSheetId="15">'3083'!#REF!</definedName>
    <definedName name="Guarantee_Per_Student" localSheetId="16">'3345'!#REF!</definedName>
    <definedName name="Guarantee_Per_Student" localSheetId="17">'3381'!#REF!</definedName>
    <definedName name="Guarantee_Per_Student" localSheetId="18">'3382'!#REF!</definedName>
    <definedName name="Guarantee_Per_Student" localSheetId="19">'3391'!#REF!</definedName>
    <definedName name="Guarantee_Per_Student" localSheetId="20">'3394'!#REF!</definedName>
    <definedName name="Guarantee_Per_Student" localSheetId="21">'3395'!#REF!</definedName>
    <definedName name="Guarantee_Per_Student" localSheetId="22">'3396'!#REF!</definedName>
    <definedName name="Guarantee_Per_Student" localSheetId="23">'3398'!#REF!</definedName>
    <definedName name="Guarantee_Per_Student" localSheetId="24">'3400'!#REF!</definedName>
    <definedName name="Guarantee_Per_Student" localSheetId="25">'3401'!#REF!</definedName>
    <definedName name="Guarantee_Per_Student" localSheetId="26">'3413'!#REF!</definedName>
    <definedName name="Guarantee_Per_Student" localSheetId="27">'3421'!#REF!</definedName>
    <definedName name="Guarantee_Per_Student" localSheetId="28">'3431'!#REF!</definedName>
    <definedName name="Guarantee_Per_Student" localSheetId="29">'3441'!#REF!</definedName>
    <definedName name="Guarantee_Per_Student" localSheetId="30">'3924'!#REF!</definedName>
    <definedName name="Guarantee_Per_Student" localSheetId="31">'3941'!#REF!</definedName>
    <definedName name="Guarantee_Per_Student" localSheetId="32">'3961'!#REF!</definedName>
    <definedName name="Guarantee_Per_Student" localSheetId="33">'3971'!#REF!</definedName>
    <definedName name="Guarantee_Per_Student" localSheetId="34">'4001'!#REF!</definedName>
    <definedName name="Guarantee_Per_Student" localSheetId="35">'4002'!#REF!</definedName>
    <definedName name="Guarantee_Per_Student" localSheetId="36">'4012'!#REF!</definedName>
    <definedName name="Guarantee_Per_Student" localSheetId="37">'4013'!#REF!</definedName>
    <definedName name="Guarantee_Per_Student" localSheetId="38">'4020'!#REF!</definedName>
    <definedName name="Guarantee_Per_Student" localSheetId="39">'4030'!#REF!</definedName>
    <definedName name="Guarantee_Per_Student" localSheetId="40">'4031'!#REF!</definedName>
    <definedName name="Guarantee_Per_Student" localSheetId="41">'4041'!#REF!</definedName>
    <definedName name="Guarantee_Per_Student" localSheetId="42">'4050'!#REF!</definedName>
    <definedName name="Guarantee_Per_Student" localSheetId="43">'4051'!#REF!</definedName>
    <definedName name="Guarantee_Per_Student" localSheetId="44">'4061'!#REF!</definedName>
    <definedName name="Guarantee_Per_Student" localSheetId="45">'4080'!#REF!</definedName>
    <definedName name="Guarantee_Per_Student" localSheetId="46">'4081'!#REF!</definedName>
    <definedName name="Guarantee_Per_Student" localSheetId="47">'4090'!#REF!</definedName>
    <definedName name="Guarantee_Per_Student" localSheetId="48">'4091'!#REF!</definedName>
    <definedName name="Guarantee_Per_Student" localSheetId="49">'4100'!#REF!</definedName>
    <definedName name="Guarantee_Per_Student" localSheetId="50">'4102'!#REF!</definedName>
    <definedName name="Guarantee_Per_Student" localSheetId="51">'4103'!#REF!</definedName>
    <definedName name="Guarantee_Per_Student" localSheetId="52">'4111'!#REF!</definedName>
    <definedName name="Guarantee_Per_Student" localSheetId="53">'4131'!#REF!</definedName>
    <definedName name="Guarantee_Per_Student">'0040'!#REF!</definedName>
    <definedName name="Gulf">#REF!</definedName>
    <definedName name="Hamilton">#REF!</definedName>
    <definedName name="Hardee">#REF!</definedName>
    <definedName name="Hendry">#REF!</definedName>
    <definedName name="Hernando">#REF!</definedName>
    <definedName name="Highlands">#REF!</definedName>
    <definedName name="Hillsborough">#REF!</definedName>
    <definedName name="Holmes">#REF!</definedName>
    <definedName name="HTML_CodePage" hidden="1">1252</definedName>
    <definedName name="HTML_Control" localSheetId="1" hidden="1">{"'AssumptionsHTML'!$B$9:$E$357","'SummationHTML'!$A$4:$J$93","'Difference'!$A$11:$K$101","'DifferenceFTE'!$A$11:$K$101","'Detail1'!$A$11:$I$97","'Detail2'!$A$11:$J$97","'Detail3'!$A$11:$J$97","'Categorical1'!$A$11:$L$97"}</definedName>
    <definedName name="HTML_Control" localSheetId="2" hidden="1">{"'AssumptionsHTML'!$B$9:$E$357","'SummationHTML'!$A$4:$J$93","'Difference'!$A$11:$K$101","'DifferenceFTE'!$A$11:$K$101","'Detail1'!$A$11:$I$97","'Detail2'!$A$11:$J$97","'Detail3'!$A$11:$J$97","'Categorical1'!$A$11:$L$97"}</definedName>
    <definedName name="HTML_Control" localSheetId="3" hidden="1">{"'AssumptionsHTML'!$B$9:$E$357","'SummationHTML'!$A$4:$J$93","'Difference'!$A$11:$K$101","'DifferenceFTE'!$A$11:$K$101","'Detail1'!$A$11:$I$97","'Detail2'!$A$11:$J$97","'Detail3'!$A$11:$J$97","'Categorical1'!$A$11:$L$97"}</definedName>
    <definedName name="HTML_Control" localSheetId="4" hidden="1">{"'AssumptionsHTML'!$B$9:$E$357","'SummationHTML'!$A$4:$J$93","'Difference'!$A$11:$K$101","'DifferenceFTE'!$A$11:$K$101","'Detail1'!$A$11:$I$97","'Detail2'!$A$11:$J$97","'Detail3'!$A$11:$J$97","'Categorical1'!$A$11:$L$97"}</definedName>
    <definedName name="HTML_Control" localSheetId="0"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Indian_River">#REF!</definedName>
    <definedName name="Instructional_Materials_Allocation__Less_science_lab_and_dual_enrollment">'[1]Detail 2025-26 FEFP Second'!#REF!</definedName>
    <definedName name="Jackson">#REF!</definedName>
    <definedName name="Jefferson">#REF!</definedName>
    <definedName name="Lafayette">#REF!</definedName>
    <definedName name="Lake">#REF!</definedName>
    <definedName name="Lee">#REF!</definedName>
    <definedName name="Leon">#REF!</definedName>
    <definedName name="Levy">#REF!</definedName>
    <definedName name="Liberty">#REF!</definedName>
    <definedName name="Madison">#REF!</definedName>
    <definedName name="Manatee">#REF!</definedName>
    <definedName name="Marion">#REF!</definedName>
    <definedName name="Martin">#REF!</definedName>
    <definedName name="Matrix_Level" localSheetId="6">'0100'!#REF!</definedName>
    <definedName name="Matrix_Level" localSheetId="7">'1461'!#REF!</definedName>
    <definedName name="Matrix_Level" localSheetId="8">'1571'!#REF!</definedName>
    <definedName name="Matrix_Level" localSheetId="9">'2521'!#REF!</definedName>
    <definedName name="Matrix_Level" localSheetId="10">'2531'!#REF!</definedName>
    <definedName name="Matrix_Level" localSheetId="11">'2791'!#REF!</definedName>
    <definedName name="Matrix_Level" localSheetId="12">'2801'!#REF!</definedName>
    <definedName name="Matrix_Level" localSheetId="13">'2911'!#REF!</definedName>
    <definedName name="Matrix_Level" localSheetId="14">'2941'!#REF!</definedName>
    <definedName name="Matrix_Level" localSheetId="15">'3083'!#REF!</definedName>
    <definedName name="Matrix_Level" localSheetId="16">'3345'!#REF!</definedName>
    <definedName name="Matrix_Level" localSheetId="17">'3381'!#REF!</definedName>
    <definedName name="Matrix_Level" localSheetId="18">'3382'!#REF!</definedName>
    <definedName name="Matrix_Level" localSheetId="19">'3391'!#REF!</definedName>
    <definedName name="Matrix_Level" localSheetId="20">'3394'!#REF!</definedName>
    <definedName name="Matrix_Level" localSheetId="21">'3395'!#REF!</definedName>
    <definedName name="Matrix_Level" localSheetId="22">'3396'!#REF!</definedName>
    <definedName name="Matrix_Level" localSheetId="23">'3398'!#REF!</definedName>
    <definedName name="Matrix_Level" localSheetId="24">'3400'!#REF!</definedName>
    <definedName name="Matrix_Level" localSheetId="25">'3401'!#REF!</definedName>
    <definedName name="Matrix_Level" localSheetId="26">'3413'!#REF!</definedName>
    <definedName name="Matrix_Level" localSheetId="27">'3421'!#REF!</definedName>
    <definedName name="Matrix_Level" localSheetId="28">'3431'!#REF!</definedName>
    <definedName name="Matrix_Level" localSheetId="29">'3441'!#REF!</definedName>
    <definedName name="Matrix_Level" localSheetId="30">'3924'!#REF!</definedName>
    <definedName name="Matrix_Level" localSheetId="31">'3941'!#REF!</definedName>
    <definedName name="Matrix_Level" localSheetId="32">'3961'!#REF!</definedName>
    <definedName name="Matrix_Level" localSheetId="33">'3971'!#REF!</definedName>
    <definedName name="Matrix_Level" localSheetId="34">'4001'!#REF!</definedName>
    <definedName name="Matrix_Level" localSheetId="35">'4002'!#REF!</definedName>
    <definedName name="Matrix_Level" localSheetId="36">'4012'!#REF!</definedName>
    <definedName name="Matrix_Level" localSheetId="37">'4013'!#REF!</definedName>
    <definedName name="Matrix_Level" localSheetId="38">'4020'!#REF!</definedName>
    <definedName name="Matrix_Level" localSheetId="39">'4030'!#REF!</definedName>
    <definedName name="Matrix_Level" localSheetId="40">'4031'!#REF!</definedName>
    <definedName name="Matrix_Level" localSheetId="41">'4041'!#REF!</definedName>
    <definedName name="Matrix_Level" localSheetId="42">'4050'!#REF!</definedName>
    <definedName name="Matrix_Level" localSheetId="43">'4051'!#REF!</definedName>
    <definedName name="Matrix_Level" localSheetId="44">'4061'!#REF!</definedName>
    <definedName name="Matrix_Level" localSheetId="45">'4080'!#REF!</definedName>
    <definedName name="Matrix_Level" localSheetId="46">'4081'!#REF!</definedName>
    <definedName name="Matrix_Level" localSheetId="47">'4090'!#REF!</definedName>
    <definedName name="Matrix_Level" localSheetId="48">'4091'!#REF!</definedName>
    <definedName name="Matrix_Level" localSheetId="49">'4100'!#REF!</definedName>
    <definedName name="Matrix_Level" localSheetId="50">'4102'!#REF!</definedName>
    <definedName name="Matrix_Level" localSheetId="51">'4103'!#REF!</definedName>
    <definedName name="Matrix_Level" localSheetId="52">'4111'!#REF!</definedName>
    <definedName name="Matrix_Level" localSheetId="53">'4131'!#REF!</definedName>
    <definedName name="Matrix_Level">'0040'!#REF!</definedName>
    <definedName name="Miami_Dade">#REF!</definedName>
    <definedName name="Minimum_Guarantee_Adjustment">'[1]Detail 2025-26 FEFP Second'!#REF!</definedName>
    <definedName name="Monroe">#REF!</definedName>
    <definedName name="Nassau">#REF!</definedName>
    <definedName name="Number_of_FTE" localSheetId="6">'0100'!$E$10</definedName>
    <definedName name="Number_of_FTE" localSheetId="7">'1461'!$E$10</definedName>
    <definedName name="Number_of_FTE" localSheetId="8">'1571'!$E$10</definedName>
    <definedName name="Number_of_FTE" localSheetId="9">'2521'!$E$10</definedName>
    <definedName name="Number_of_FTE" localSheetId="10">'2531'!$E$10</definedName>
    <definedName name="Number_of_FTE" localSheetId="11">'2791'!$E$10</definedName>
    <definedName name="Number_of_FTE" localSheetId="12">'2801'!$E$10</definedName>
    <definedName name="Number_of_FTE" localSheetId="13">'2911'!$E$10</definedName>
    <definedName name="Number_of_FTE" localSheetId="14">'2941'!$E$10</definedName>
    <definedName name="Number_of_FTE" localSheetId="15">'3083'!$E$10</definedName>
    <definedName name="Number_of_FTE" localSheetId="16">'3345'!$E$10</definedName>
    <definedName name="Number_of_FTE" localSheetId="17">'3381'!$E$10</definedName>
    <definedName name="Number_of_FTE" localSheetId="18">'3382'!$E$10</definedName>
    <definedName name="Number_of_FTE" localSheetId="19">'3391'!$E$10</definedName>
    <definedName name="Number_of_FTE" localSheetId="20">'3394'!$E$10</definedName>
    <definedName name="Number_of_FTE" localSheetId="21">'3395'!$E$10</definedName>
    <definedName name="Number_of_FTE" localSheetId="22">'3396'!$E$10</definedName>
    <definedName name="Number_of_FTE" localSheetId="23">'3398'!$E$10</definedName>
    <definedName name="Number_of_FTE" localSheetId="24">'3400'!$E$10</definedName>
    <definedName name="Number_of_FTE" localSheetId="25">'3401'!$E$10</definedName>
    <definedName name="Number_of_FTE" localSheetId="26">'3413'!$E$10</definedName>
    <definedName name="Number_of_FTE" localSheetId="27">'3421'!$E$10</definedName>
    <definedName name="Number_of_FTE" localSheetId="28">'3431'!$E$10</definedName>
    <definedName name="Number_of_FTE" localSheetId="29">'3441'!$E$10</definedName>
    <definedName name="Number_of_FTE" localSheetId="30">'3924'!$E$10</definedName>
    <definedName name="Number_of_FTE" localSheetId="31">'3941'!$E$10</definedName>
    <definedName name="Number_of_FTE" localSheetId="32">'3961'!$E$10</definedName>
    <definedName name="Number_of_FTE" localSheetId="33">'3971'!$E$10</definedName>
    <definedName name="Number_of_FTE" localSheetId="34">'4001'!$E$10</definedName>
    <definedName name="Number_of_FTE" localSheetId="35">'4002'!$E$10</definedName>
    <definedName name="Number_of_FTE" localSheetId="36">'4012'!$E$10</definedName>
    <definedName name="Number_of_FTE" localSheetId="37">'4013'!$E$10</definedName>
    <definedName name="Number_of_FTE" localSheetId="38">'4020'!$E$10</definedName>
    <definedName name="Number_of_FTE" localSheetId="39">'4030'!$E$10</definedName>
    <definedName name="Number_of_FTE" localSheetId="40">'4031'!$E$10</definedName>
    <definedName name="Number_of_FTE" localSheetId="41">'4041'!$E$10</definedName>
    <definedName name="Number_of_FTE" localSheetId="42">'4050'!$E$10</definedName>
    <definedName name="Number_of_FTE" localSheetId="43">'4051'!$E$10</definedName>
    <definedName name="Number_of_FTE" localSheetId="44">'4061'!$E$10</definedName>
    <definedName name="Number_of_FTE" localSheetId="45">'4080'!$E$10</definedName>
    <definedName name="Number_of_FTE" localSheetId="46">'4081'!$E$10</definedName>
    <definedName name="Number_of_FTE" localSheetId="47">'4090'!$E$10</definedName>
    <definedName name="Number_of_FTE" localSheetId="48">'4091'!$E$10</definedName>
    <definedName name="Number_of_FTE" localSheetId="49">'4100'!$E$10</definedName>
    <definedName name="Number_of_FTE" localSheetId="50">'4102'!$E$10</definedName>
    <definedName name="Number_of_FTE" localSheetId="51">'4103'!$E$10</definedName>
    <definedName name="Number_of_FTE" localSheetId="52">'4111'!$E$10</definedName>
    <definedName name="Number_of_FTE" localSheetId="53">'4131'!$E$10</definedName>
    <definedName name="Number_of_FTE">'0040'!$E$10</definedName>
    <definedName name="Okaloosa">#REF!</definedName>
    <definedName name="Okeechobee">#REF!</definedName>
    <definedName name="Orange">#REF!</definedName>
    <definedName name="Osceola">#REF!</definedName>
    <definedName name="Palm_Beach">#REF!</definedName>
    <definedName name="Pasco">#REF!</definedName>
    <definedName name="Per_Student" localSheetId="6">'0100'!#REF!</definedName>
    <definedName name="Per_Student" localSheetId="7">'1461'!#REF!</definedName>
    <definedName name="Per_Student" localSheetId="8">'1571'!#REF!</definedName>
    <definedName name="Per_Student" localSheetId="9">'2521'!#REF!</definedName>
    <definedName name="Per_Student" localSheetId="10">'2531'!#REF!</definedName>
    <definedName name="Per_Student" localSheetId="11">'2791'!#REF!</definedName>
    <definedName name="Per_Student" localSheetId="12">'2801'!#REF!</definedName>
    <definedName name="Per_Student" localSheetId="13">'2911'!#REF!</definedName>
    <definedName name="Per_Student" localSheetId="14">'2941'!#REF!</definedName>
    <definedName name="Per_Student" localSheetId="15">'3083'!#REF!</definedName>
    <definedName name="Per_Student" localSheetId="16">'3345'!#REF!</definedName>
    <definedName name="Per_Student" localSheetId="17">'3381'!#REF!</definedName>
    <definedName name="Per_Student" localSheetId="18">'3382'!#REF!</definedName>
    <definedName name="Per_Student" localSheetId="19">'3391'!#REF!</definedName>
    <definedName name="Per_Student" localSheetId="20">'3394'!#REF!</definedName>
    <definedName name="Per_Student" localSheetId="21">'3395'!#REF!</definedName>
    <definedName name="Per_Student" localSheetId="22">'3396'!#REF!</definedName>
    <definedName name="Per_Student" localSheetId="23">'3398'!#REF!</definedName>
    <definedName name="Per_Student" localSheetId="24">'3400'!#REF!</definedName>
    <definedName name="Per_Student" localSheetId="25">'3401'!#REF!</definedName>
    <definedName name="Per_Student" localSheetId="26">'3413'!#REF!</definedName>
    <definedName name="Per_Student" localSheetId="27">'3421'!#REF!</definedName>
    <definedName name="Per_Student" localSheetId="28">'3431'!#REF!</definedName>
    <definedName name="Per_Student" localSheetId="29">'3441'!#REF!</definedName>
    <definedName name="Per_Student" localSheetId="30">'3924'!#REF!</definedName>
    <definedName name="Per_Student" localSheetId="31">'3941'!#REF!</definedName>
    <definedName name="Per_Student" localSheetId="32">'3961'!#REF!</definedName>
    <definedName name="Per_Student" localSheetId="33">'3971'!#REF!</definedName>
    <definedName name="Per_Student" localSheetId="34">'4001'!#REF!</definedName>
    <definedName name="Per_Student" localSheetId="35">'4002'!#REF!</definedName>
    <definedName name="Per_Student" localSheetId="36">'4012'!#REF!</definedName>
    <definedName name="Per_Student" localSheetId="37">'4013'!#REF!</definedName>
    <definedName name="Per_Student" localSheetId="38">'4020'!#REF!</definedName>
    <definedName name="Per_Student" localSheetId="39">'4030'!#REF!</definedName>
    <definedName name="Per_Student" localSheetId="40">'4031'!#REF!</definedName>
    <definedName name="Per_Student" localSheetId="41">'4041'!#REF!</definedName>
    <definedName name="Per_Student" localSheetId="42">'4050'!#REF!</definedName>
    <definedName name="Per_Student" localSheetId="43">'4051'!#REF!</definedName>
    <definedName name="Per_Student" localSheetId="44">'4061'!#REF!</definedName>
    <definedName name="Per_Student" localSheetId="45">'4080'!#REF!</definedName>
    <definedName name="Per_Student" localSheetId="46">'4081'!#REF!</definedName>
    <definedName name="Per_Student" localSheetId="47">'4090'!#REF!</definedName>
    <definedName name="Per_Student" localSheetId="48">'4091'!#REF!</definedName>
    <definedName name="Per_Student" localSheetId="49">'4100'!#REF!</definedName>
    <definedName name="Per_Student" localSheetId="50">'4102'!#REF!</definedName>
    <definedName name="Per_Student" localSheetId="51">'4103'!#REF!</definedName>
    <definedName name="Per_Student" localSheetId="52">'4111'!#REF!</definedName>
    <definedName name="Per_Student" localSheetId="53">'4131'!#REF!</definedName>
    <definedName name="Per_Student">'0040'!#REF!</definedName>
    <definedName name="Pinellas">#REF!</definedName>
    <definedName name="PK___3" localSheetId="6">'0100'!$A$90</definedName>
    <definedName name="PK___3" localSheetId="7">'1461'!$A$90</definedName>
    <definedName name="PK___3" localSheetId="8">'1571'!$A$90</definedName>
    <definedName name="PK___3" localSheetId="9">'2521'!$A$90</definedName>
    <definedName name="PK___3" localSheetId="10">'2531'!$A$90</definedName>
    <definedName name="PK___3" localSheetId="11">'2791'!$A$90</definedName>
    <definedName name="PK___3" localSheetId="12">'2801'!$A$90</definedName>
    <definedName name="PK___3" localSheetId="13">'2911'!$A$90</definedName>
    <definedName name="PK___3" localSheetId="14">'2941'!$A$90</definedName>
    <definedName name="PK___3" localSheetId="15">'3083'!$A$90</definedName>
    <definedName name="PK___3" localSheetId="16">'3345'!$A$90</definedName>
    <definedName name="PK___3" localSheetId="17">'3381'!$A$90</definedName>
    <definedName name="PK___3" localSheetId="18">'3382'!$A$90</definedName>
    <definedName name="PK___3" localSheetId="19">'3391'!$A$90</definedName>
    <definedName name="PK___3" localSheetId="20">'3394'!$A$90</definedName>
    <definedName name="PK___3" localSheetId="21">'3395'!$A$90</definedName>
    <definedName name="PK___3" localSheetId="22">'3396'!$A$90</definedName>
    <definedName name="PK___3" localSheetId="23">'3398'!$A$90</definedName>
    <definedName name="PK___3" localSheetId="24">'3400'!$A$90</definedName>
    <definedName name="PK___3" localSheetId="25">'3401'!$A$90</definedName>
    <definedName name="PK___3" localSheetId="26">'3413'!$A$90</definedName>
    <definedName name="PK___3" localSheetId="27">'3421'!$A$90</definedName>
    <definedName name="PK___3" localSheetId="28">'3431'!$A$90</definedName>
    <definedName name="PK___3" localSheetId="29">'3441'!$A$90</definedName>
    <definedName name="PK___3" localSheetId="30">'3924'!$A$90</definedName>
    <definedName name="PK___3" localSheetId="31">'3941'!$A$90</definedName>
    <definedName name="PK___3" localSheetId="32">'3961'!$A$90</definedName>
    <definedName name="PK___3" localSheetId="33">'3971'!$A$90</definedName>
    <definedName name="PK___3" localSheetId="34">'4001'!$A$90</definedName>
    <definedName name="PK___3" localSheetId="35">'4002'!$A$90</definedName>
    <definedName name="PK___3" localSheetId="36">'4012'!$A$90</definedName>
    <definedName name="PK___3" localSheetId="37">'4013'!$A$90</definedName>
    <definedName name="PK___3" localSheetId="38">'4020'!$A$90</definedName>
    <definedName name="PK___3" localSheetId="39">'4030'!$A$90</definedName>
    <definedName name="PK___3" localSheetId="40">'4031'!$A$90</definedName>
    <definedName name="PK___3" localSheetId="41">'4041'!$A$90</definedName>
    <definedName name="PK___3" localSheetId="42">'4050'!$A$90</definedName>
    <definedName name="PK___3" localSheetId="43">'4051'!$A$90</definedName>
    <definedName name="PK___3" localSheetId="44">'4061'!$A$90</definedName>
    <definedName name="PK___3" localSheetId="45">'4080'!$A$90</definedName>
    <definedName name="PK___3" localSheetId="46">'4081'!$A$90</definedName>
    <definedName name="PK___3" localSheetId="47">'4090'!$A$90</definedName>
    <definedName name="PK___3" localSheetId="48">'4091'!$A$90</definedName>
    <definedName name="PK___3" localSheetId="49">'4100'!$A$90</definedName>
    <definedName name="PK___3" localSheetId="50">'4102'!$A$90</definedName>
    <definedName name="PK___3" localSheetId="51">'4103'!$A$90</definedName>
    <definedName name="PK___3" localSheetId="52">'4111'!$A$90</definedName>
    <definedName name="PK___3" localSheetId="53">'4131'!$A$90</definedName>
    <definedName name="PK___3">'0040'!$A$90</definedName>
    <definedName name="Polk">#REF!</definedName>
    <definedName name="PRACTICE" localSheetId="5" hidden="1">{#N/A,#N/A,FALSE,"Summation";#N/A,#N/A,FALSE,"BSA";#N/A,#N/A,FALSE,"Detail1";#N/A,#N/A,FALSE,"Detail2";#N/A,#N/A,FALSE,"Detail3";#N/A,#N/A,FALSE,"WFTE_Summary";#N/A,#N/A,FALSE,"Funded_WFTE";#N/A,#N/A,FALSE,"PYADJ96"}</definedName>
    <definedName name="PRACTICE" localSheetId="6" hidden="1">{#N/A,#N/A,FALSE,"Summation";#N/A,#N/A,FALSE,"BSA";#N/A,#N/A,FALSE,"Detail1";#N/A,#N/A,FALSE,"Detail2";#N/A,#N/A,FALSE,"Detail3";#N/A,#N/A,FALSE,"WFTE_Summary";#N/A,#N/A,FALSE,"Funded_WFTE";#N/A,#N/A,FALSE,"PYADJ96"}</definedName>
    <definedName name="PRACTICE" localSheetId="7" hidden="1">{#N/A,#N/A,FALSE,"Summation";#N/A,#N/A,FALSE,"BSA";#N/A,#N/A,FALSE,"Detail1";#N/A,#N/A,FALSE,"Detail2";#N/A,#N/A,FALSE,"Detail3";#N/A,#N/A,FALSE,"WFTE_Summary";#N/A,#N/A,FALSE,"Funded_WFTE";#N/A,#N/A,FALSE,"PYADJ96"}</definedName>
    <definedName name="PRACTICE" localSheetId="8"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1"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3"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localSheetId="0"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5" hidden="1">{#N/A,#N/A,FALSE,"Summation";#N/A,#N/A,FALSE,"BSA";#N/A,#N/A,FALSE,"Detail1";#N/A,#N/A,FALSE,"Detail2";#N/A,#N/A,FALSE,"Detail3";#N/A,#N/A,FALSE,"WFTE_Summary";#N/A,#N/A,FALSE,"Funded_WFTE";#N/A,#N/A,FALSE,"PYADJ96"}</definedName>
    <definedName name="PRACTOCE" localSheetId="6" hidden="1">{#N/A,#N/A,FALSE,"Summation";#N/A,#N/A,FALSE,"BSA";#N/A,#N/A,FALSE,"Detail1";#N/A,#N/A,FALSE,"Detail2";#N/A,#N/A,FALSE,"Detail3";#N/A,#N/A,FALSE,"WFTE_Summary";#N/A,#N/A,FALSE,"Funded_WFTE";#N/A,#N/A,FALSE,"PYADJ96"}</definedName>
    <definedName name="PRACTOCE" localSheetId="7"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1"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3"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localSheetId="0"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5">'0040'!$A$2:$J$146</definedName>
    <definedName name="_xlnm.Print_Area" localSheetId="6">'0100'!$A$2:$J$146</definedName>
    <definedName name="_xlnm.Print_Area" localSheetId="7">'1461'!$A$2:$J$146</definedName>
    <definedName name="_xlnm.Print_Area" localSheetId="8">'1571'!$A$2:$J$146</definedName>
    <definedName name="_xlnm.Print_Area" localSheetId="9">'2521'!$A$2:$J$146</definedName>
    <definedName name="_xlnm.Print_Area" localSheetId="10">'2531'!$A$2:$J$146</definedName>
    <definedName name="_xlnm.Print_Area" localSheetId="11">'2791'!$A$2:$J$146</definedName>
    <definedName name="_xlnm.Print_Area" localSheetId="12">'2801'!$A$2:$J$146</definedName>
    <definedName name="_xlnm.Print_Area" localSheetId="13">'2911'!$A$2:$J$146</definedName>
    <definedName name="_xlnm.Print_Area" localSheetId="14">'2941'!$A$2:$J$146</definedName>
    <definedName name="_xlnm.Print_Area" localSheetId="15">'3083'!$A$2:$J$146</definedName>
    <definedName name="_xlnm.Print_Area" localSheetId="16">'3345'!$A$2:$J$146</definedName>
    <definedName name="_xlnm.Print_Area" localSheetId="17">'3381'!$A$2:$J$146</definedName>
    <definedName name="_xlnm.Print_Area" localSheetId="18">'3382'!$A$2:$J$146</definedName>
    <definedName name="_xlnm.Print_Area" localSheetId="19">'3391'!$A$2:$J$146</definedName>
    <definedName name="_xlnm.Print_Area" localSheetId="20">'3394'!$A$2:$J$146</definedName>
    <definedName name="_xlnm.Print_Area" localSheetId="21">'3395'!$A$2:$J$146</definedName>
    <definedName name="_xlnm.Print_Area" localSheetId="22">'3396'!$A$2:$J$146</definedName>
    <definedName name="_xlnm.Print_Area" localSheetId="23">'3398'!$A$2:$J$146</definedName>
    <definedName name="_xlnm.Print_Area" localSheetId="24">'3400'!$A$2:$J$146</definedName>
    <definedName name="_xlnm.Print_Area" localSheetId="25">'3401'!$A$2:$J$146</definedName>
    <definedName name="_xlnm.Print_Area" localSheetId="26">'3413'!$A$2:$J$146</definedName>
    <definedName name="_xlnm.Print_Area" localSheetId="27">'3421'!$A$2:$J$146</definedName>
    <definedName name="_xlnm.Print_Area" localSheetId="28">'3431'!$A$2:$J$146</definedName>
    <definedName name="_xlnm.Print_Area" localSheetId="29">'3441'!$A$2:$J$146</definedName>
    <definedName name="_xlnm.Print_Area" localSheetId="30">'3924'!$A$2:$J$146</definedName>
    <definedName name="_xlnm.Print_Area" localSheetId="31">'3941'!$A$2:$J$146</definedName>
    <definedName name="_xlnm.Print_Area" localSheetId="32">'3961'!$A$2:$J$146</definedName>
    <definedName name="_xlnm.Print_Area" localSheetId="33">'3971'!$A$2:$J$146</definedName>
    <definedName name="_xlnm.Print_Area" localSheetId="34">'4001'!$A$2:$J$146</definedName>
    <definedName name="_xlnm.Print_Area" localSheetId="35">'4002'!$A$2:$J$146</definedName>
    <definedName name="_xlnm.Print_Area" localSheetId="36">'4012'!$A$2:$J$146</definedName>
    <definedName name="_xlnm.Print_Area" localSheetId="37">'4013'!$A$2:$J$146</definedName>
    <definedName name="_xlnm.Print_Area" localSheetId="38">'4020'!$A$2:$J$146</definedName>
    <definedName name="_xlnm.Print_Area" localSheetId="39">'4030'!$A$2:$J$146</definedName>
    <definedName name="_xlnm.Print_Area" localSheetId="40">'4031'!$A$2:$J$146</definedName>
    <definedName name="_xlnm.Print_Area" localSheetId="41">'4041'!$A$2:$J$146</definedName>
    <definedName name="_xlnm.Print_Area" localSheetId="42">'4050'!$A$2:$J$146</definedName>
    <definedName name="_xlnm.Print_Area" localSheetId="43">'4051'!$A$2:$J$146</definedName>
    <definedName name="_xlnm.Print_Area" localSheetId="44">'4061'!$A$2:$J$146</definedName>
    <definedName name="_xlnm.Print_Area" localSheetId="45">'4080'!$A$2:$J$146</definedName>
    <definedName name="_xlnm.Print_Area" localSheetId="46">'4081'!$A$2:$J$146</definedName>
    <definedName name="_xlnm.Print_Area" localSheetId="47">'4090'!$A$2:$J$146</definedName>
    <definedName name="_xlnm.Print_Area" localSheetId="48">'4091'!$A$2:$J$146</definedName>
    <definedName name="_xlnm.Print_Area" localSheetId="49">'4100'!$A$2:$J$146</definedName>
    <definedName name="_xlnm.Print_Area" localSheetId="50">'4102'!$A$2:$J$146</definedName>
    <definedName name="_xlnm.Print_Area" localSheetId="51">'4103'!$A$2:$J$146</definedName>
    <definedName name="_xlnm.Print_Area" localSheetId="52">'4111'!$A$2:$J$146</definedName>
    <definedName name="_xlnm.Print_Area" localSheetId="53">'4131'!$A$2:$J$146</definedName>
    <definedName name="_xlnm.Print_Area" localSheetId="3">Consolidated!$A$2:$I$160</definedName>
    <definedName name="_xlnm.Print_Area" localSheetId="0">'Net Payment'!$A$1:$G$515</definedName>
    <definedName name="_xlnm.Print_Titles" localSheetId="0">'Net Payment'!$1:$4</definedName>
    <definedName name="Program" localSheetId="6">'0100'!$A$10</definedName>
    <definedName name="Program" localSheetId="7">'1461'!$A$10</definedName>
    <definedName name="Program" localSheetId="8">'1571'!$A$10</definedName>
    <definedName name="Program" localSheetId="9">'2521'!$A$10</definedName>
    <definedName name="Program" localSheetId="10">'2531'!$A$10</definedName>
    <definedName name="Program" localSheetId="11">'2791'!$A$10</definedName>
    <definedName name="Program" localSheetId="12">'2801'!$A$10</definedName>
    <definedName name="Program" localSheetId="13">'2911'!$A$10</definedName>
    <definedName name="Program" localSheetId="14">'2941'!$A$10</definedName>
    <definedName name="Program" localSheetId="15">'3083'!$A$10</definedName>
    <definedName name="Program" localSheetId="16">'3345'!$A$10</definedName>
    <definedName name="Program" localSheetId="17">'3381'!$A$10</definedName>
    <definedName name="Program" localSheetId="18">'3382'!$A$10</definedName>
    <definedName name="Program" localSheetId="19">'3391'!$A$10</definedName>
    <definedName name="Program" localSheetId="20">'3394'!$A$10</definedName>
    <definedName name="Program" localSheetId="21">'3395'!$A$10</definedName>
    <definedName name="Program" localSheetId="22">'3396'!$A$10</definedName>
    <definedName name="Program" localSheetId="23">'3398'!$A$10</definedName>
    <definedName name="Program" localSheetId="24">'3400'!$A$10</definedName>
    <definedName name="Program" localSheetId="25">'3401'!$A$10</definedName>
    <definedName name="Program" localSheetId="26">'3413'!$A$10</definedName>
    <definedName name="Program" localSheetId="27">'3421'!$A$10</definedName>
    <definedName name="Program" localSheetId="28">'3431'!$A$10</definedName>
    <definedName name="Program" localSheetId="29">'3441'!$A$10</definedName>
    <definedName name="Program" localSheetId="30">'3924'!$A$10</definedName>
    <definedName name="Program" localSheetId="31">'3941'!$A$10</definedName>
    <definedName name="Program" localSheetId="32">'3961'!$A$10</definedName>
    <definedName name="Program" localSheetId="33">'3971'!$A$10</definedName>
    <definedName name="Program" localSheetId="34">'4001'!$A$10</definedName>
    <definedName name="Program" localSheetId="35">'4002'!$A$10</definedName>
    <definedName name="Program" localSheetId="36">'4012'!$A$10</definedName>
    <definedName name="Program" localSheetId="37">'4013'!$A$10</definedName>
    <definedName name="Program" localSheetId="38">'4020'!$A$10</definedName>
    <definedName name="Program" localSheetId="39">'4030'!$A$10</definedName>
    <definedName name="Program" localSheetId="40">'4031'!$A$10</definedName>
    <definedName name="Program" localSheetId="41">'4041'!$A$10</definedName>
    <definedName name="Program" localSheetId="42">'4050'!$A$10</definedName>
    <definedName name="Program" localSheetId="43">'4051'!$A$10</definedName>
    <definedName name="Program" localSheetId="44">'4061'!$A$10</definedName>
    <definedName name="Program" localSheetId="45">'4080'!$A$10</definedName>
    <definedName name="Program" localSheetId="46">'4081'!$A$10</definedName>
    <definedName name="Program" localSheetId="47">'4090'!$A$10</definedName>
    <definedName name="Program" localSheetId="48">'4091'!$A$10</definedName>
    <definedName name="Program" localSheetId="49">'4100'!$A$10</definedName>
    <definedName name="Program" localSheetId="50">'4102'!$A$10</definedName>
    <definedName name="Program" localSheetId="51">'4103'!$A$10</definedName>
    <definedName name="Program" localSheetId="52">'4111'!$A$10</definedName>
    <definedName name="Program" localSheetId="53">'4131'!$A$10</definedName>
    <definedName name="Program">'0040'!$A$10</definedName>
    <definedName name="Program______________________________Cost_Factor" localSheetId="6">'0100'!$G$10</definedName>
    <definedName name="Program______________________________Cost_Factor" localSheetId="7">'1461'!$G$10</definedName>
    <definedName name="Program______________________________Cost_Factor" localSheetId="8">'1571'!$G$10</definedName>
    <definedName name="Program______________________________Cost_Factor" localSheetId="9">'2521'!$G$10</definedName>
    <definedName name="Program______________________________Cost_Factor" localSheetId="10">'2531'!$G$10</definedName>
    <definedName name="Program______________________________Cost_Factor" localSheetId="11">'2791'!$G$10</definedName>
    <definedName name="Program______________________________Cost_Factor" localSheetId="12">'2801'!$G$10</definedName>
    <definedName name="Program______________________________Cost_Factor" localSheetId="13">'2911'!$G$10</definedName>
    <definedName name="Program______________________________Cost_Factor" localSheetId="14">'2941'!$G$10</definedName>
    <definedName name="Program______________________________Cost_Factor" localSheetId="15">'3083'!$G$10</definedName>
    <definedName name="Program______________________________Cost_Factor" localSheetId="16">'3345'!$G$10</definedName>
    <definedName name="Program______________________________Cost_Factor" localSheetId="17">'3381'!$G$10</definedName>
    <definedName name="Program______________________________Cost_Factor" localSheetId="18">'3382'!$G$10</definedName>
    <definedName name="Program______________________________Cost_Factor" localSheetId="19">'3391'!$G$10</definedName>
    <definedName name="Program______________________________Cost_Factor" localSheetId="20">'3394'!$G$10</definedName>
    <definedName name="Program______________________________Cost_Factor" localSheetId="21">'3395'!$G$10</definedName>
    <definedName name="Program______________________________Cost_Factor" localSheetId="22">'3396'!$G$10</definedName>
    <definedName name="Program______________________________Cost_Factor" localSheetId="23">'3398'!$G$10</definedName>
    <definedName name="Program______________________________Cost_Factor" localSheetId="24">'3400'!$G$10</definedName>
    <definedName name="Program______________________________Cost_Factor" localSheetId="25">'3401'!$G$10</definedName>
    <definedName name="Program______________________________Cost_Factor" localSheetId="26">'3413'!$G$10</definedName>
    <definedName name="Program______________________________Cost_Factor" localSheetId="27">'3421'!$G$10</definedName>
    <definedName name="Program______________________________Cost_Factor" localSheetId="28">'3431'!$G$10</definedName>
    <definedName name="Program______________________________Cost_Factor" localSheetId="29">'3441'!$G$10</definedName>
    <definedName name="Program______________________________Cost_Factor" localSheetId="30">'3924'!$G$10</definedName>
    <definedName name="Program______________________________Cost_Factor" localSheetId="31">'3941'!$G$10</definedName>
    <definedName name="Program______________________________Cost_Factor" localSheetId="32">'3961'!$G$10</definedName>
    <definedName name="Program______________________________Cost_Factor" localSheetId="33">'3971'!$G$10</definedName>
    <definedName name="Program______________________________Cost_Factor" localSheetId="34">'4001'!$G$10</definedName>
    <definedName name="Program______________________________Cost_Factor" localSheetId="35">'4002'!$G$10</definedName>
    <definedName name="Program______________________________Cost_Factor" localSheetId="36">'4012'!$G$10</definedName>
    <definedName name="Program______________________________Cost_Factor" localSheetId="37">'4013'!$G$10</definedName>
    <definedName name="Program______________________________Cost_Factor" localSheetId="38">'4020'!$G$10</definedName>
    <definedName name="Program______________________________Cost_Factor" localSheetId="39">'4030'!$G$10</definedName>
    <definedName name="Program______________________________Cost_Factor" localSheetId="40">'4031'!$G$10</definedName>
    <definedName name="Program______________________________Cost_Factor" localSheetId="41">'4041'!$G$10</definedName>
    <definedName name="Program______________________________Cost_Factor" localSheetId="42">'4050'!$G$10</definedName>
    <definedName name="Program______________________________Cost_Factor" localSheetId="43">'4051'!$G$10</definedName>
    <definedName name="Program______________________________Cost_Factor" localSheetId="44">'4061'!$G$10</definedName>
    <definedName name="Program______________________________Cost_Factor" localSheetId="45">'4080'!$G$10</definedName>
    <definedName name="Program______________________________Cost_Factor" localSheetId="46">'4081'!$G$10</definedName>
    <definedName name="Program______________________________Cost_Factor" localSheetId="47">'4090'!$G$10</definedName>
    <definedName name="Program______________________________Cost_Factor" localSheetId="48">'4091'!$G$10</definedName>
    <definedName name="Program______________________________Cost_Factor" localSheetId="49">'4100'!$G$10</definedName>
    <definedName name="Program______________________________Cost_Factor" localSheetId="50">'4102'!$G$10</definedName>
    <definedName name="Program______________________________Cost_Factor" localSheetId="51">'4103'!$G$10</definedName>
    <definedName name="Program______________________________Cost_Factor" localSheetId="52">'4111'!$G$10</definedName>
    <definedName name="Program______________________________Cost_Factor" localSheetId="53">'4131'!$G$10</definedName>
    <definedName name="Program______________________________Cost_Factor">'0040'!$G$10</definedName>
    <definedName name="Program_111__Grades_K_3">#REF!</definedName>
    <definedName name="Program_112__Grades_4_8">#REF!</definedName>
    <definedName name="Program_113__Grades_9_12">#REF!</definedName>
    <definedName name="Proratioin_to_Veto">'[1]Detail 2025-26 FEFP Second'!#REF!</definedName>
    <definedName name="Proration_to_the_Appropriation">'[1]Detail 2025-26 FEFP Second'!#REF!</definedName>
    <definedName name="Putnam">#REF!</definedName>
    <definedName name="Revenue_Estimate_Worksheet_for___________Charter_School" localSheetId="6">'0100'!$A$2</definedName>
    <definedName name="Revenue_Estimate_Worksheet_for___________Charter_School" localSheetId="7">'1461'!$A$2</definedName>
    <definedName name="Revenue_Estimate_Worksheet_for___________Charter_School" localSheetId="8">'1571'!$A$2</definedName>
    <definedName name="Revenue_Estimate_Worksheet_for___________Charter_School" localSheetId="9">'2521'!$A$2</definedName>
    <definedName name="Revenue_Estimate_Worksheet_for___________Charter_School" localSheetId="10">'2531'!$A$2</definedName>
    <definedName name="Revenue_Estimate_Worksheet_for___________Charter_School" localSheetId="11">'2791'!$A$2</definedName>
    <definedName name="Revenue_Estimate_Worksheet_for___________Charter_School" localSheetId="12">'2801'!$A$2</definedName>
    <definedName name="Revenue_Estimate_Worksheet_for___________Charter_School" localSheetId="13">'2911'!$A$2</definedName>
    <definedName name="Revenue_Estimate_Worksheet_for___________Charter_School" localSheetId="14">'2941'!$A$2</definedName>
    <definedName name="Revenue_Estimate_Worksheet_for___________Charter_School" localSheetId="15">'3083'!$A$2</definedName>
    <definedName name="Revenue_Estimate_Worksheet_for___________Charter_School" localSheetId="16">'3345'!$A$2</definedName>
    <definedName name="Revenue_Estimate_Worksheet_for___________Charter_School" localSheetId="17">'3381'!$A$2</definedName>
    <definedName name="Revenue_Estimate_Worksheet_for___________Charter_School" localSheetId="18">'3382'!$A$2</definedName>
    <definedName name="Revenue_Estimate_Worksheet_for___________Charter_School" localSheetId="19">'3391'!$A$2</definedName>
    <definedName name="Revenue_Estimate_Worksheet_for___________Charter_School" localSheetId="20">'3394'!$A$2</definedName>
    <definedName name="Revenue_Estimate_Worksheet_for___________Charter_School" localSheetId="21">'3395'!$A$2</definedName>
    <definedName name="Revenue_Estimate_Worksheet_for___________Charter_School" localSheetId="22">'3396'!$A$2</definedName>
    <definedName name="Revenue_Estimate_Worksheet_for___________Charter_School" localSheetId="23">'3398'!$A$2</definedName>
    <definedName name="Revenue_Estimate_Worksheet_for___________Charter_School" localSheetId="24">'3400'!$A$2</definedName>
    <definedName name="Revenue_Estimate_Worksheet_for___________Charter_School" localSheetId="25">'3401'!$A$2</definedName>
    <definedName name="Revenue_Estimate_Worksheet_for___________Charter_School" localSheetId="26">'3413'!$A$2</definedName>
    <definedName name="Revenue_Estimate_Worksheet_for___________Charter_School" localSheetId="27">'3421'!$A$2</definedName>
    <definedName name="Revenue_Estimate_Worksheet_for___________Charter_School" localSheetId="28">'3431'!$A$2</definedName>
    <definedName name="Revenue_Estimate_Worksheet_for___________Charter_School" localSheetId="29">'3441'!$A$2</definedName>
    <definedName name="Revenue_Estimate_Worksheet_for___________Charter_School" localSheetId="30">'3924'!$A$2</definedName>
    <definedName name="Revenue_Estimate_Worksheet_for___________Charter_School" localSheetId="31">'3941'!$A$2</definedName>
    <definedName name="Revenue_Estimate_Worksheet_for___________Charter_School" localSheetId="32">'3961'!$A$2</definedName>
    <definedName name="Revenue_Estimate_Worksheet_for___________Charter_School" localSheetId="33">'3971'!$A$2</definedName>
    <definedName name="Revenue_Estimate_Worksheet_for___________Charter_School" localSheetId="34">'4001'!$A$2</definedName>
    <definedName name="Revenue_Estimate_Worksheet_for___________Charter_School" localSheetId="35">'4002'!$A$2</definedName>
    <definedName name="Revenue_Estimate_Worksheet_for___________Charter_School" localSheetId="36">'4012'!$A$2</definedName>
    <definedName name="Revenue_Estimate_Worksheet_for___________Charter_School" localSheetId="37">'4013'!$A$2</definedName>
    <definedName name="Revenue_Estimate_Worksheet_for___________Charter_School" localSheetId="38">'4020'!$A$2</definedName>
    <definedName name="Revenue_Estimate_Worksheet_for___________Charter_School" localSheetId="39">'4030'!$A$2</definedName>
    <definedName name="Revenue_Estimate_Worksheet_for___________Charter_School" localSheetId="40">'4031'!$A$2</definedName>
    <definedName name="Revenue_Estimate_Worksheet_for___________Charter_School" localSheetId="41">'4041'!$A$2</definedName>
    <definedName name="Revenue_Estimate_Worksheet_for___________Charter_School" localSheetId="42">'4050'!$A$2</definedName>
    <definedName name="Revenue_Estimate_Worksheet_for___________Charter_School" localSheetId="43">'4051'!$A$2</definedName>
    <definedName name="Revenue_Estimate_Worksheet_for___________Charter_School" localSheetId="44">'4061'!$A$2</definedName>
    <definedName name="Revenue_Estimate_Worksheet_for___________Charter_School" localSheetId="45">'4080'!$A$2</definedName>
    <definedName name="Revenue_Estimate_Worksheet_for___________Charter_School" localSheetId="46">'4081'!$A$2</definedName>
    <definedName name="Revenue_Estimate_Worksheet_for___________Charter_School" localSheetId="47">'4090'!$A$2</definedName>
    <definedName name="Revenue_Estimate_Worksheet_for___________Charter_School" localSheetId="48">'4091'!$A$2</definedName>
    <definedName name="Revenue_Estimate_Worksheet_for___________Charter_School" localSheetId="49">'4100'!$A$2</definedName>
    <definedName name="Revenue_Estimate_Worksheet_for___________Charter_School" localSheetId="50">'4102'!$A$2</definedName>
    <definedName name="Revenue_Estimate_Worksheet_for___________Charter_School" localSheetId="51">'4103'!$A$2</definedName>
    <definedName name="Revenue_Estimate_Worksheet_for___________Charter_School" localSheetId="52">'4111'!$A$2</definedName>
    <definedName name="Revenue_Estimate_Worksheet_for___________Charter_School" localSheetId="53">'4131'!$A$2</definedName>
    <definedName name="Revenue_Estimate_Worksheet_for___________Charter_School">'0040'!$A$2</definedName>
    <definedName name="Santa_Rosa">#REF!</definedName>
    <definedName name="Sarasota">#REF!</definedName>
    <definedName name="School_District" localSheetId="6">'0100'!$A$4</definedName>
    <definedName name="School_District" localSheetId="7">'1461'!$A$4</definedName>
    <definedName name="School_District" localSheetId="8">'1571'!$A$4</definedName>
    <definedName name="School_District" localSheetId="9">'2521'!$A$4</definedName>
    <definedName name="School_District" localSheetId="10">'2531'!$A$4</definedName>
    <definedName name="School_District" localSheetId="11">'2791'!$A$4</definedName>
    <definedName name="School_District" localSheetId="12">'2801'!$A$4</definedName>
    <definedName name="School_District" localSheetId="13">'2911'!$A$4</definedName>
    <definedName name="School_District" localSheetId="14">'2941'!$A$4</definedName>
    <definedName name="School_District" localSheetId="15">'3083'!$A$4</definedName>
    <definedName name="School_District" localSheetId="16">'3345'!$A$4</definedName>
    <definedName name="School_District" localSheetId="17">'3381'!$A$4</definedName>
    <definedName name="School_District" localSheetId="18">'3382'!$A$4</definedName>
    <definedName name="School_District" localSheetId="19">'3391'!$A$4</definedName>
    <definedName name="School_District" localSheetId="20">'3394'!$A$4</definedName>
    <definedName name="School_District" localSheetId="21">'3395'!$A$4</definedName>
    <definedName name="School_District" localSheetId="22">'3396'!$A$4</definedName>
    <definedName name="School_District" localSheetId="23">'3398'!$A$4</definedName>
    <definedName name="School_District" localSheetId="24">'3400'!$A$4</definedName>
    <definedName name="School_District" localSheetId="25">'3401'!$A$4</definedName>
    <definedName name="School_District" localSheetId="26">'3413'!$A$4</definedName>
    <definedName name="School_District" localSheetId="27">'3421'!$A$4</definedName>
    <definedName name="School_District" localSheetId="28">'3431'!$A$4</definedName>
    <definedName name="School_District" localSheetId="29">'3441'!$A$4</definedName>
    <definedName name="School_District" localSheetId="30">'3924'!$A$4</definedName>
    <definedName name="School_District" localSheetId="31">'3941'!$A$4</definedName>
    <definedName name="School_District" localSheetId="32">'3961'!$A$4</definedName>
    <definedName name="School_District" localSheetId="33">'3971'!$A$4</definedName>
    <definedName name="School_District" localSheetId="34">'4001'!$A$4</definedName>
    <definedName name="School_District" localSheetId="35">'4002'!$A$4</definedName>
    <definedName name="School_District" localSheetId="36">'4012'!$A$4</definedName>
    <definedName name="School_District" localSheetId="37">'4013'!$A$4</definedName>
    <definedName name="School_District" localSheetId="38">'4020'!$A$4</definedName>
    <definedName name="School_District" localSheetId="39">'4030'!$A$4</definedName>
    <definedName name="School_District" localSheetId="40">'4031'!$A$4</definedName>
    <definedName name="School_District" localSheetId="41">'4041'!$A$4</definedName>
    <definedName name="School_District" localSheetId="42">'4050'!$A$4</definedName>
    <definedName name="School_District" localSheetId="43">'4051'!$A$4</definedName>
    <definedName name="School_District" localSheetId="44">'4061'!$A$4</definedName>
    <definedName name="School_District" localSheetId="45">'4080'!$A$4</definedName>
    <definedName name="School_District" localSheetId="46">'4081'!$A$4</definedName>
    <definedName name="School_District" localSheetId="47">'4090'!$A$4</definedName>
    <definedName name="School_District" localSheetId="48">'4091'!$A$4</definedName>
    <definedName name="School_District" localSheetId="49">'4100'!$A$4</definedName>
    <definedName name="School_District" localSheetId="50">'4102'!$A$4</definedName>
    <definedName name="School_District" localSheetId="51">'4103'!$A$4</definedName>
    <definedName name="School_District" localSheetId="52">'4111'!$A$4</definedName>
    <definedName name="School_District" localSheetId="53">'4131'!$A$4</definedName>
    <definedName name="School_District">'0040'!$A$4</definedName>
    <definedName name="Science_Lab_Materials_Allocation">'[1]Detail 2025-26 FEFP Second'!#REF!</definedName>
    <definedName name="Seminole">#REF!</definedName>
    <definedName name="Sparsity_Supplement">'[1]Detail 2025-26 FEFP Second'!#REF!</definedName>
    <definedName name="St._Johns">#REF!</definedName>
    <definedName name="St._Lucie">#REF!</definedName>
    <definedName name="Sumter">#REF!</definedName>
    <definedName name="Supplemental_Academic_Instruction">'[1]Detail 2025-26 FEFP Second'!#REF!</definedName>
    <definedName name="Suwannee">#REF!</definedName>
    <definedName name="Taylor">#REF!</definedName>
    <definedName name="Total" localSheetId="6">'0100'!$A$93</definedName>
    <definedName name="Total" localSheetId="7">'1461'!$A$93</definedName>
    <definedName name="Total" localSheetId="8">'1571'!$A$93</definedName>
    <definedName name="Total" localSheetId="9">'2521'!$A$93</definedName>
    <definedName name="Total" localSheetId="10">'2531'!$A$93</definedName>
    <definedName name="Total" localSheetId="11">'2791'!$A$93</definedName>
    <definedName name="Total" localSheetId="12">'2801'!$A$93</definedName>
    <definedName name="Total" localSheetId="13">'2911'!$A$93</definedName>
    <definedName name="Total" localSheetId="14">'2941'!$A$93</definedName>
    <definedName name="Total" localSheetId="15">'3083'!$A$93</definedName>
    <definedName name="Total" localSheetId="16">'3345'!$A$93</definedName>
    <definedName name="Total" localSheetId="17">'3381'!$A$93</definedName>
    <definedName name="Total" localSheetId="18">'3382'!$A$93</definedName>
    <definedName name="Total" localSheetId="19">'3391'!$A$93</definedName>
    <definedName name="Total" localSheetId="20">'3394'!$A$93</definedName>
    <definedName name="Total" localSheetId="21">'3395'!$A$93</definedName>
    <definedName name="Total" localSheetId="22">'3396'!$A$93</definedName>
    <definedName name="Total" localSheetId="23">'3398'!$A$93</definedName>
    <definedName name="Total" localSheetId="24">'3400'!$A$93</definedName>
    <definedName name="Total" localSheetId="25">'3401'!$A$93</definedName>
    <definedName name="Total" localSheetId="26">'3413'!$A$93</definedName>
    <definedName name="Total" localSheetId="27">'3421'!$A$93</definedName>
    <definedName name="Total" localSheetId="28">'3431'!$A$93</definedName>
    <definedName name="Total" localSheetId="29">'3441'!$A$93</definedName>
    <definedName name="Total" localSheetId="30">'3924'!$A$93</definedName>
    <definedName name="Total" localSheetId="31">'3941'!$A$93</definedName>
    <definedName name="Total" localSheetId="32">'3961'!$A$93</definedName>
    <definedName name="Total" localSheetId="33">'3971'!$A$93</definedName>
    <definedName name="Total" localSheetId="34">'4001'!$A$93</definedName>
    <definedName name="Total" localSheetId="35">'4002'!$A$93</definedName>
    <definedName name="Total" localSheetId="36">'4012'!$A$93</definedName>
    <definedName name="Total" localSheetId="37">'4013'!$A$93</definedName>
    <definedName name="Total" localSheetId="38">'4020'!$A$93</definedName>
    <definedName name="Total" localSheetId="39">'4030'!$A$93</definedName>
    <definedName name="Total" localSheetId="40">'4031'!$A$93</definedName>
    <definedName name="Total" localSheetId="41">'4041'!$A$93</definedName>
    <definedName name="Total" localSheetId="42">'4050'!$A$93</definedName>
    <definedName name="Total" localSheetId="43">'4051'!$A$93</definedName>
    <definedName name="Total" localSheetId="44">'4061'!$A$93</definedName>
    <definedName name="Total" localSheetId="45">'4080'!$A$93</definedName>
    <definedName name="Total" localSheetId="46">'4081'!$A$93</definedName>
    <definedName name="Total" localSheetId="47">'4090'!$A$93</definedName>
    <definedName name="Total" localSheetId="48">'4091'!$A$93</definedName>
    <definedName name="Total" localSheetId="49">'4100'!$A$93</definedName>
    <definedName name="Total" localSheetId="50">'4102'!$A$93</definedName>
    <definedName name="Total" localSheetId="51">'4103'!$A$93</definedName>
    <definedName name="Total" localSheetId="52">'4111'!$A$93</definedName>
    <definedName name="Total" localSheetId="53">'4131'!$A$93</definedName>
    <definedName name="Total">'0040'!$A$93</definedName>
    <definedName name="Total_Class_Size_Reduction_Funds" localSheetId="6">'0100'!$E$93</definedName>
    <definedName name="Total_Class_Size_Reduction_Funds" localSheetId="7">'1461'!$E$93</definedName>
    <definedName name="Total_Class_Size_Reduction_Funds" localSheetId="8">'1571'!$E$93</definedName>
    <definedName name="Total_Class_Size_Reduction_Funds" localSheetId="9">'2521'!$E$93</definedName>
    <definedName name="Total_Class_Size_Reduction_Funds" localSheetId="10">'2531'!$E$93</definedName>
    <definedName name="Total_Class_Size_Reduction_Funds" localSheetId="11">'2791'!$E$93</definedName>
    <definedName name="Total_Class_Size_Reduction_Funds" localSheetId="12">'2801'!$E$93</definedName>
    <definedName name="Total_Class_Size_Reduction_Funds" localSheetId="13">'2911'!$E$93</definedName>
    <definedName name="Total_Class_Size_Reduction_Funds" localSheetId="14">'2941'!$E$93</definedName>
    <definedName name="Total_Class_Size_Reduction_Funds" localSheetId="15">'3083'!$E$93</definedName>
    <definedName name="Total_Class_Size_Reduction_Funds" localSheetId="16">'3345'!$E$93</definedName>
    <definedName name="Total_Class_Size_Reduction_Funds" localSheetId="17">'3381'!$E$93</definedName>
    <definedName name="Total_Class_Size_Reduction_Funds" localSheetId="18">'3382'!$E$93</definedName>
    <definedName name="Total_Class_Size_Reduction_Funds" localSheetId="19">'3391'!$E$93</definedName>
    <definedName name="Total_Class_Size_Reduction_Funds" localSheetId="20">'3394'!$E$93</definedName>
    <definedName name="Total_Class_Size_Reduction_Funds" localSheetId="21">'3395'!$E$93</definedName>
    <definedName name="Total_Class_Size_Reduction_Funds" localSheetId="22">'3396'!$E$93</definedName>
    <definedName name="Total_Class_Size_Reduction_Funds" localSheetId="23">'3398'!$E$93</definedName>
    <definedName name="Total_Class_Size_Reduction_Funds" localSheetId="24">'3400'!$E$93</definedName>
    <definedName name="Total_Class_Size_Reduction_Funds" localSheetId="25">'3401'!$E$93</definedName>
    <definedName name="Total_Class_Size_Reduction_Funds" localSheetId="26">'3413'!$E$93</definedName>
    <definedName name="Total_Class_Size_Reduction_Funds" localSheetId="27">'3421'!$E$93</definedName>
    <definedName name="Total_Class_Size_Reduction_Funds" localSheetId="28">'3431'!$E$93</definedName>
    <definedName name="Total_Class_Size_Reduction_Funds" localSheetId="29">'3441'!$E$93</definedName>
    <definedName name="Total_Class_Size_Reduction_Funds" localSheetId="30">'3924'!$E$93</definedName>
    <definedName name="Total_Class_Size_Reduction_Funds" localSheetId="31">'3941'!$E$93</definedName>
    <definedName name="Total_Class_Size_Reduction_Funds" localSheetId="32">'3961'!$E$93</definedName>
    <definedName name="Total_Class_Size_Reduction_Funds" localSheetId="33">'3971'!$E$93</definedName>
    <definedName name="Total_Class_Size_Reduction_Funds" localSheetId="34">'4001'!$E$93</definedName>
    <definedName name="Total_Class_Size_Reduction_Funds" localSheetId="35">'4002'!$E$93</definedName>
    <definedName name="Total_Class_Size_Reduction_Funds" localSheetId="36">'4012'!$E$93</definedName>
    <definedName name="Total_Class_Size_Reduction_Funds" localSheetId="37">'4013'!$E$93</definedName>
    <definedName name="Total_Class_Size_Reduction_Funds" localSheetId="38">'4020'!$E$93</definedName>
    <definedName name="Total_Class_Size_Reduction_Funds" localSheetId="39">'4030'!$E$93</definedName>
    <definedName name="Total_Class_Size_Reduction_Funds" localSheetId="40">'4031'!$E$93</definedName>
    <definedName name="Total_Class_Size_Reduction_Funds" localSheetId="41">'4041'!$E$93</definedName>
    <definedName name="Total_Class_Size_Reduction_Funds" localSheetId="42">'4050'!$E$93</definedName>
    <definedName name="Total_Class_Size_Reduction_Funds" localSheetId="43">'4051'!$E$93</definedName>
    <definedName name="Total_Class_Size_Reduction_Funds" localSheetId="44">'4061'!$E$93</definedName>
    <definedName name="Total_Class_Size_Reduction_Funds" localSheetId="45">'4080'!$E$93</definedName>
    <definedName name="Total_Class_Size_Reduction_Funds" localSheetId="46">'4081'!$E$93</definedName>
    <definedName name="Total_Class_Size_Reduction_Funds" localSheetId="47">'4090'!$E$93</definedName>
    <definedName name="Total_Class_Size_Reduction_Funds" localSheetId="48">'4091'!$E$93</definedName>
    <definedName name="Total_Class_Size_Reduction_Funds" localSheetId="49">'4100'!$E$93</definedName>
    <definedName name="Total_Class_Size_Reduction_Funds" localSheetId="50">'4102'!$E$93</definedName>
    <definedName name="Total_Class_Size_Reduction_Funds" localSheetId="51">'4103'!$E$93</definedName>
    <definedName name="Total_Class_Size_Reduction_Funds" localSheetId="52">'4111'!$E$93</definedName>
    <definedName name="Total_Class_Size_Reduction_Funds" localSheetId="53">'4131'!$E$93</definedName>
    <definedName name="Total_Class_Size_Reduction_Funds">'0040'!$E$93</definedName>
    <definedName name="Total_from_ESE_Guarantee" localSheetId="6">'0100'!#REF!</definedName>
    <definedName name="Total_from_ESE_Guarantee" localSheetId="7">'1461'!#REF!</definedName>
    <definedName name="Total_from_ESE_Guarantee" localSheetId="8">'1571'!#REF!</definedName>
    <definedName name="Total_from_ESE_Guarantee" localSheetId="9">'2521'!#REF!</definedName>
    <definedName name="Total_from_ESE_Guarantee" localSheetId="10">'2531'!#REF!</definedName>
    <definedName name="Total_from_ESE_Guarantee" localSheetId="11">'2791'!#REF!</definedName>
    <definedName name="Total_from_ESE_Guarantee" localSheetId="12">'2801'!#REF!</definedName>
    <definedName name="Total_from_ESE_Guarantee" localSheetId="13">'2911'!#REF!</definedName>
    <definedName name="Total_from_ESE_Guarantee" localSheetId="14">'2941'!#REF!</definedName>
    <definedName name="Total_from_ESE_Guarantee" localSheetId="15">'3083'!#REF!</definedName>
    <definedName name="Total_from_ESE_Guarantee" localSheetId="16">'3345'!#REF!</definedName>
    <definedName name="Total_from_ESE_Guarantee" localSheetId="17">'3381'!#REF!</definedName>
    <definedName name="Total_from_ESE_Guarantee" localSheetId="18">'3382'!#REF!</definedName>
    <definedName name="Total_from_ESE_Guarantee" localSheetId="19">'3391'!#REF!</definedName>
    <definedName name="Total_from_ESE_Guarantee" localSheetId="20">'3394'!#REF!</definedName>
    <definedName name="Total_from_ESE_Guarantee" localSheetId="21">'3395'!#REF!</definedName>
    <definedName name="Total_from_ESE_Guarantee" localSheetId="22">'3396'!#REF!</definedName>
    <definedName name="Total_from_ESE_Guarantee" localSheetId="23">'3398'!#REF!</definedName>
    <definedName name="Total_from_ESE_Guarantee" localSheetId="24">'3400'!#REF!</definedName>
    <definedName name="Total_from_ESE_Guarantee" localSheetId="25">'3401'!#REF!</definedName>
    <definedName name="Total_from_ESE_Guarantee" localSheetId="26">'3413'!#REF!</definedName>
    <definedName name="Total_from_ESE_Guarantee" localSheetId="27">'3421'!#REF!</definedName>
    <definedName name="Total_from_ESE_Guarantee" localSheetId="28">'3431'!#REF!</definedName>
    <definedName name="Total_from_ESE_Guarantee" localSheetId="29">'3441'!#REF!</definedName>
    <definedName name="Total_from_ESE_Guarantee" localSheetId="30">'3924'!#REF!</definedName>
    <definedName name="Total_from_ESE_Guarantee" localSheetId="31">'3941'!#REF!</definedName>
    <definedName name="Total_from_ESE_Guarantee" localSheetId="32">'3961'!#REF!</definedName>
    <definedName name="Total_from_ESE_Guarantee" localSheetId="33">'3971'!#REF!</definedName>
    <definedName name="Total_from_ESE_Guarantee" localSheetId="34">'4001'!#REF!</definedName>
    <definedName name="Total_from_ESE_Guarantee" localSheetId="35">'4002'!#REF!</definedName>
    <definedName name="Total_from_ESE_Guarantee" localSheetId="36">'4012'!#REF!</definedName>
    <definedName name="Total_from_ESE_Guarantee" localSheetId="37">'4013'!#REF!</definedName>
    <definedName name="Total_from_ESE_Guarantee" localSheetId="38">'4020'!#REF!</definedName>
    <definedName name="Total_from_ESE_Guarantee" localSheetId="39">'4030'!#REF!</definedName>
    <definedName name="Total_from_ESE_Guarantee" localSheetId="40">'4031'!#REF!</definedName>
    <definedName name="Total_from_ESE_Guarantee" localSheetId="41">'4041'!#REF!</definedName>
    <definedName name="Total_from_ESE_Guarantee" localSheetId="42">'4050'!#REF!</definedName>
    <definedName name="Total_from_ESE_Guarantee" localSheetId="43">'4051'!#REF!</definedName>
    <definedName name="Total_from_ESE_Guarantee" localSheetId="44">'4061'!#REF!</definedName>
    <definedName name="Total_from_ESE_Guarantee" localSheetId="45">'4080'!#REF!</definedName>
    <definedName name="Total_from_ESE_Guarantee" localSheetId="46">'4081'!#REF!</definedName>
    <definedName name="Total_from_ESE_Guarantee" localSheetId="47">'4090'!#REF!</definedName>
    <definedName name="Total_from_ESE_Guarantee" localSheetId="48">'4091'!#REF!</definedName>
    <definedName name="Total_from_ESE_Guarantee" localSheetId="49">'4100'!#REF!</definedName>
    <definedName name="Total_from_ESE_Guarantee" localSheetId="50">'4102'!#REF!</definedName>
    <definedName name="Total_from_ESE_Guarantee" localSheetId="51">'4103'!#REF!</definedName>
    <definedName name="Total_from_ESE_Guarantee" localSheetId="52">'4111'!#REF!</definedName>
    <definedName name="Total_from_ESE_Guarantee" localSheetId="53">'4131'!#REF!</definedName>
    <definedName name="Total_from_ESE_Guarantee">'0040'!#REF!</definedName>
    <definedName name="Total_FTE_with_ESE_Services" localSheetId="6">'0100'!#REF!</definedName>
    <definedName name="Total_FTE_with_ESE_Services" localSheetId="7">'1461'!#REF!</definedName>
    <definedName name="Total_FTE_with_ESE_Services" localSheetId="8">'1571'!#REF!</definedName>
    <definedName name="Total_FTE_with_ESE_Services" localSheetId="9">'2521'!#REF!</definedName>
    <definedName name="Total_FTE_with_ESE_Services" localSheetId="10">'2531'!#REF!</definedName>
    <definedName name="Total_FTE_with_ESE_Services" localSheetId="11">'2791'!#REF!</definedName>
    <definedName name="Total_FTE_with_ESE_Services" localSheetId="12">'2801'!#REF!</definedName>
    <definedName name="Total_FTE_with_ESE_Services" localSheetId="13">'2911'!#REF!</definedName>
    <definedName name="Total_FTE_with_ESE_Services" localSheetId="14">'2941'!#REF!</definedName>
    <definedName name="Total_FTE_with_ESE_Services" localSheetId="15">'3083'!#REF!</definedName>
    <definedName name="Total_FTE_with_ESE_Services" localSheetId="16">'3345'!#REF!</definedName>
    <definedName name="Total_FTE_with_ESE_Services" localSheetId="17">'3381'!#REF!</definedName>
    <definedName name="Total_FTE_with_ESE_Services" localSheetId="18">'3382'!#REF!</definedName>
    <definedName name="Total_FTE_with_ESE_Services" localSheetId="19">'3391'!#REF!</definedName>
    <definedName name="Total_FTE_with_ESE_Services" localSheetId="20">'3394'!#REF!</definedName>
    <definedName name="Total_FTE_with_ESE_Services" localSheetId="21">'3395'!#REF!</definedName>
    <definedName name="Total_FTE_with_ESE_Services" localSheetId="22">'3396'!#REF!</definedName>
    <definedName name="Total_FTE_with_ESE_Services" localSheetId="23">'3398'!#REF!</definedName>
    <definedName name="Total_FTE_with_ESE_Services" localSheetId="24">'3400'!#REF!</definedName>
    <definedName name="Total_FTE_with_ESE_Services" localSheetId="25">'3401'!#REF!</definedName>
    <definedName name="Total_FTE_with_ESE_Services" localSheetId="26">'3413'!#REF!</definedName>
    <definedName name="Total_FTE_with_ESE_Services" localSheetId="27">'3421'!#REF!</definedName>
    <definedName name="Total_FTE_with_ESE_Services" localSheetId="28">'3431'!#REF!</definedName>
    <definedName name="Total_FTE_with_ESE_Services" localSheetId="29">'3441'!#REF!</definedName>
    <definedName name="Total_FTE_with_ESE_Services" localSheetId="30">'3924'!#REF!</definedName>
    <definedName name="Total_FTE_with_ESE_Services" localSheetId="31">'3941'!#REF!</definedName>
    <definedName name="Total_FTE_with_ESE_Services" localSheetId="32">'3961'!#REF!</definedName>
    <definedName name="Total_FTE_with_ESE_Services" localSheetId="33">'3971'!#REF!</definedName>
    <definedName name="Total_FTE_with_ESE_Services" localSheetId="34">'4001'!#REF!</definedName>
    <definedName name="Total_FTE_with_ESE_Services" localSheetId="35">'4002'!#REF!</definedName>
    <definedName name="Total_FTE_with_ESE_Services" localSheetId="36">'4012'!#REF!</definedName>
    <definedName name="Total_FTE_with_ESE_Services" localSheetId="37">'4013'!#REF!</definedName>
    <definedName name="Total_FTE_with_ESE_Services" localSheetId="38">'4020'!#REF!</definedName>
    <definedName name="Total_FTE_with_ESE_Services" localSheetId="39">'4030'!#REF!</definedName>
    <definedName name="Total_FTE_with_ESE_Services" localSheetId="40">'4031'!#REF!</definedName>
    <definedName name="Total_FTE_with_ESE_Services" localSheetId="41">'4041'!#REF!</definedName>
    <definedName name="Total_FTE_with_ESE_Services" localSheetId="42">'4050'!#REF!</definedName>
    <definedName name="Total_FTE_with_ESE_Services" localSheetId="43">'4051'!#REF!</definedName>
    <definedName name="Total_FTE_with_ESE_Services" localSheetId="44">'4061'!#REF!</definedName>
    <definedName name="Total_FTE_with_ESE_Services" localSheetId="45">'4080'!#REF!</definedName>
    <definedName name="Total_FTE_with_ESE_Services" localSheetId="46">'4081'!#REF!</definedName>
    <definedName name="Total_FTE_with_ESE_Services" localSheetId="47">'4090'!#REF!</definedName>
    <definedName name="Total_FTE_with_ESE_Services" localSheetId="48">'4091'!#REF!</definedName>
    <definedName name="Total_FTE_with_ESE_Services" localSheetId="49">'4100'!#REF!</definedName>
    <definedName name="Total_FTE_with_ESE_Services" localSheetId="50">'4102'!#REF!</definedName>
    <definedName name="Total_FTE_with_ESE_Services" localSheetId="51">'4103'!#REF!</definedName>
    <definedName name="Total_FTE_with_ESE_Services" localSheetId="52">'4111'!#REF!</definedName>
    <definedName name="Total_FTE_with_ESE_Services" localSheetId="53">'4131'!#REF!</definedName>
    <definedName name="Total_FTE_with_ESE_Services">'0040'!#REF!</definedName>
    <definedName name="Total_Instructional_Materials_Allocation">'[1]Detail 2025-26 FEFP Second'!#REF!</definedName>
    <definedName name="Totals" localSheetId="6">'0100'!$A$28</definedName>
    <definedName name="Totals" localSheetId="7">'1461'!$A$28</definedName>
    <definedName name="Totals" localSheetId="8">'1571'!$A$28</definedName>
    <definedName name="Totals" localSheetId="9">'2521'!$A$28</definedName>
    <definedName name="Totals" localSheetId="10">'2531'!$A$28</definedName>
    <definedName name="Totals" localSheetId="11">'2791'!$A$28</definedName>
    <definedName name="Totals" localSheetId="12">'2801'!$A$28</definedName>
    <definedName name="Totals" localSheetId="13">'2911'!$A$28</definedName>
    <definedName name="Totals" localSheetId="14">'2941'!$A$28</definedName>
    <definedName name="Totals" localSheetId="15">'3083'!$A$28</definedName>
    <definedName name="Totals" localSheetId="16">'3345'!$A$28</definedName>
    <definedName name="Totals" localSheetId="17">'3381'!$A$28</definedName>
    <definedName name="Totals" localSheetId="18">'3382'!$A$28</definedName>
    <definedName name="Totals" localSheetId="19">'3391'!$A$28</definedName>
    <definedName name="Totals" localSheetId="20">'3394'!$A$28</definedName>
    <definedName name="Totals" localSheetId="21">'3395'!$A$28</definedName>
    <definedName name="Totals" localSheetId="22">'3396'!$A$28</definedName>
    <definedName name="Totals" localSheetId="23">'3398'!$A$28</definedName>
    <definedName name="Totals" localSheetId="24">'3400'!$A$28</definedName>
    <definedName name="Totals" localSheetId="25">'3401'!$A$28</definedName>
    <definedName name="Totals" localSheetId="26">'3413'!$A$28</definedName>
    <definedName name="Totals" localSheetId="27">'3421'!$A$28</definedName>
    <definedName name="Totals" localSheetId="28">'3431'!$A$28</definedName>
    <definedName name="Totals" localSheetId="29">'3441'!$A$28</definedName>
    <definedName name="Totals" localSheetId="30">'3924'!$A$28</definedName>
    <definedName name="Totals" localSheetId="31">'3941'!$A$28</definedName>
    <definedName name="Totals" localSheetId="32">'3961'!$A$28</definedName>
    <definedName name="Totals" localSheetId="33">'3971'!$A$28</definedName>
    <definedName name="Totals" localSheetId="34">'4001'!$A$28</definedName>
    <definedName name="Totals" localSheetId="35">'4002'!$A$28</definedName>
    <definedName name="Totals" localSheetId="36">'4012'!$A$28</definedName>
    <definedName name="Totals" localSheetId="37">'4013'!$A$28</definedName>
    <definedName name="Totals" localSheetId="38">'4020'!$A$28</definedName>
    <definedName name="Totals" localSheetId="39">'4030'!$A$28</definedName>
    <definedName name="Totals" localSheetId="40">'4031'!$A$28</definedName>
    <definedName name="Totals" localSheetId="41">'4041'!$A$28</definedName>
    <definedName name="Totals" localSheetId="42">'4050'!$A$28</definedName>
    <definedName name="Totals" localSheetId="43">'4051'!$A$28</definedName>
    <definedName name="Totals" localSheetId="44">'4061'!$A$28</definedName>
    <definedName name="Totals" localSheetId="45">'4080'!$A$28</definedName>
    <definedName name="Totals" localSheetId="46">'4081'!$A$28</definedName>
    <definedName name="Totals" localSheetId="47">'4090'!$A$28</definedName>
    <definedName name="Totals" localSheetId="48">'4091'!$A$28</definedName>
    <definedName name="Totals" localSheetId="49">'4100'!$A$28</definedName>
    <definedName name="Totals" localSheetId="50">'4102'!$A$28</definedName>
    <definedName name="Totals" localSheetId="51">'4103'!$A$28</definedName>
    <definedName name="Totals" localSheetId="52">'4111'!$A$28</definedName>
    <definedName name="Totals" localSheetId="53">'4131'!$A$28</definedName>
    <definedName name="Totals">'0040'!$A$28</definedName>
    <definedName name="UF_Lab_School">#REF!</definedName>
    <definedName name="Union">#REF!</definedName>
    <definedName name="Volusia">#REF!</definedName>
    <definedName name="Wakulla">#REF!</definedName>
    <definedName name="Walton">#REF!</definedName>
    <definedName name="Washington">#REF!</definedName>
    <definedName name="Washington_Special">#REF!</definedName>
    <definedName name="Weighted_FTE____________b__x__c" localSheetId="6">'0100'!$I$10</definedName>
    <definedName name="Weighted_FTE____________b__x__c" localSheetId="7">'1461'!$I$10</definedName>
    <definedName name="Weighted_FTE____________b__x__c" localSheetId="8">'1571'!$I$10</definedName>
    <definedName name="Weighted_FTE____________b__x__c" localSheetId="9">'2521'!$I$10</definedName>
    <definedName name="Weighted_FTE____________b__x__c" localSheetId="10">'2531'!$I$10</definedName>
    <definedName name="Weighted_FTE____________b__x__c" localSheetId="11">'2791'!$I$10</definedName>
    <definedName name="Weighted_FTE____________b__x__c" localSheetId="12">'2801'!$I$10</definedName>
    <definedName name="Weighted_FTE____________b__x__c" localSheetId="13">'2911'!$I$10</definedName>
    <definedName name="Weighted_FTE____________b__x__c" localSheetId="14">'2941'!$I$10</definedName>
    <definedName name="Weighted_FTE____________b__x__c" localSheetId="15">'3083'!$I$10</definedName>
    <definedName name="Weighted_FTE____________b__x__c" localSheetId="16">'3345'!$I$10</definedName>
    <definedName name="Weighted_FTE____________b__x__c" localSheetId="17">'3381'!$I$10</definedName>
    <definedName name="Weighted_FTE____________b__x__c" localSheetId="18">'3382'!$I$10</definedName>
    <definedName name="Weighted_FTE____________b__x__c" localSheetId="19">'3391'!$I$10</definedName>
    <definedName name="Weighted_FTE____________b__x__c" localSheetId="20">'3394'!$I$10</definedName>
    <definedName name="Weighted_FTE____________b__x__c" localSheetId="21">'3395'!$I$10</definedName>
    <definedName name="Weighted_FTE____________b__x__c" localSheetId="22">'3396'!$I$10</definedName>
    <definedName name="Weighted_FTE____________b__x__c" localSheetId="23">'3398'!$I$10</definedName>
    <definedName name="Weighted_FTE____________b__x__c" localSheetId="24">'3400'!$I$10</definedName>
    <definedName name="Weighted_FTE____________b__x__c" localSheetId="25">'3401'!$I$10</definedName>
    <definedName name="Weighted_FTE____________b__x__c" localSheetId="26">'3413'!$I$10</definedName>
    <definedName name="Weighted_FTE____________b__x__c" localSheetId="27">'3421'!$I$10</definedName>
    <definedName name="Weighted_FTE____________b__x__c" localSheetId="28">'3431'!$I$10</definedName>
    <definedName name="Weighted_FTE____________b__x__c" localSheetId="29">'3441'!$I$10</definedName>
    <definedName name="Weighted_FTE____________b__x__c" localSheetId="30">'3924'!$I$10</definedName>
    <definedName name="Weighted_FTE____________b__x__c" localSheetId="31">'3941'!$I$10</definedName>
    <definedName name="Weighted_FTE____________b__x__c" localSheetId="32">'3961'!$I$10</definedName>
    <definedName name="Weighted_FTE____________b__x__c" localSheetId="33">'3971'!$I$10</definedName>
    <definedName name="Weighted_FTE____________b__x__c" localSheetId="34">'4001'!$I$10</definedName>
    <definedName name="Weighted_FTE____________b__x__c" localSheetId="35">'4002'!$I$10</definedName>
    <definedName name="Weighted_FTE____________b__x__c" localSheetId="36">'4012'!$I$10</definedName>
    <definedName name="Weighted_FTE____________b__x__c" localSheetId="37">'4013'!$I$10</definedName>
    <definedName name="Weighted_FTE____________b__x__c" localSheetId="38">'4020'!$I$10</definedName>
    <definedName name="Weighted_FTE____________b__x__c" localSheetId="39">'4030'!$I$10</definedName>
    <definedName name="Weighted_FTE____________b__x__c" localSheetId="40">'4031'!$I$10</definedName>
    <definedName name="Weighted_FTE____________b__x__c" localSheetId="41">'4041'!$I$10</definedName>
    <definedName name="Weighted_FTE____________b__x__c" localSheetId="42">'4050'!$I$10</definedName>
    <definedName name="Weighted_FTE____________b__x__c" localSheetId="43">'4051'!$I$10</definedName>
    <definedName name="Weighted_FTE____________b__x__c" localSheetId="44">'4061'!$I$10</definedName>
    <definedName name="Weighted_FTE____________b__x__c" localSheetId="45">'4080'!$I$10</definedName>
    <definedName name="Weighted_FTE____________b__x__c" localSheetId="46">'4081'!$I$10</definedName>
    <definedName name="Weighted_FTE____________b__x__c" localSheetId="47">'4090'!$I$10</definedName>
    <definedName name="Weighted_FTE____________b__x__c" localSheetId="48">'4091'!$I$10</definedName>
    <definedName name="Weighted_FTE____________b__x__c" localSheetId="49">'4100'!$I$10</definedName>
    <definedName name="Weighted_FTE____________b__x__c" localSheetId="50">'4102'!$I$10</definedName>
    <definedName name="Weighted_FTE____________b__x__c" localSheetId="51">'4103'!$I$10</definedName>
    <definedName name="Weighted_FTE____________b__x__c" localSheetId="52">'4111'!$I$10</definedName>
    <definedName name="Weighted_FTE____________b__x__c" localSheetId="53">'4131'!$I$10</definedName>
    <definedName name="Weighted_FTE____________b__x__c">'0040'!$I$10</definedName>
    <definedName name="Weighted_FTE__From_Section_1" localSheetId="6">'0100'!$B$89</definedName>
    <definedName name="Weighted_FTE__From_Section_1" localSheetId="7">'1461'!$B$89</definedName>
    <definedName name="Weighted_FTE__From_Section_1" localSheetId="8">'1571'!$B$89</definedName>
    <definedName name="Weighted_FTE__From_Section_1" localSheetId="9">'2521'!$B$89</definedName>
    <definedName name="Weighted_FTE__From_Section_1" localSheetId="10">'2531'!$B$89</definedName>
    <definedName name="Weighted_FTE__From_Section_1" localSheetId="11">'2791'!$B$89</definedName>
    <definedName name="Weighted_FTE__From_Section_1" localSheetId="12">'2801'!$B$89</definedName>
    <definedName name="Weighted_FTE__From_Section_1" localSheetId="13">'2911'!$B$89</definedName>
    <definedName name="Weighted_FTE__From_Section_1" localSheetId="14">'2941'!$B$89</definedName>
    <definedName name="Weighted_FTE__From_Section_1" localSheetId="15">'3083'!$B$89</definedName>
    <definedName name="Weighted_FTE__From_Section_1" localSheetId="16">'3345'!$B$89</definedName>
    <definedName name="Weighted_FTE__From_Section_1" localSheetId="17">'3381'!$B$89</definedName>
    <definedName name="Weighted_FTE__From_Section_1" localSheetId="18">'3382'!$B$89</definedName>
    <definedName name="Weighted_FTE__From_Section_1" localSheetId="19">'3391'!$B$89</definedName>
    <definedName name="Weighted_FTE__From_Section_1" localSheetId="20">'3394'!$B$89</definedName>
    <definedName name="Weighted_FTE__From_Section_1" localSheetId="21">'3395'!$B$89</definedName>
    <definedName name="Weighted_FTE__From_Section_1" localSheetId="22">'3396'!$B$89</definedName>
    <definedName name="Weighted_FTE__From_Section_1" localSheetId="23">'3398'!$B$89</definedName>
    <definedName name="Weighted_FTE__From_Section_1" localSheetId="24">'3400'!$B$89</definedName>
    <definedName name="Weighted_FTE__From_Section_1" localSheetId="25">'3401'!$B$89</definedName>
    <definedName name="Weighted_FTE__From_Section_1" localSheetId="26">'3413'!$B$89</definedName>
    <definedName name="Weighted_FTE__From_Section_1" localSheetId="27">'3421'!$B$89</definedName>
    <definedName name="Weighted_FTE__From_Section_1" localSheetId="28">'3431'!$B$89</definedName>
    <definedName name="Weighted_FTE__From_Section_1" localSheetId="29">'3441'!$B$89</definedName>
    <definedName name="Weighted_FTE__From_Section_1" localSheetId="30">'3924'!$B$89</definedName>
    <definedName name="Weighted_FTE__From_Section_1" localSheetId="31">'3941'!$B$89</definedName>
    <definedName name="Weighted_FTE__From_Section_1" localSheetId="32">'3961'!$B$89</definedName>
    <definedName name="Weighted_FTE__From_Section_1" localSheetId="33">'3971'!$B$89</definedName>
    <definedName name="Weighted_FTE__From_Section_1" localSheetId="34">'4001'!$B$89</definedName>
    <definedName name="Weighted_FTE__From_Section_1" localSheetId="35">'4002'!$B$89</definedName>
    <definedName name="Weighted_FTE__From_Section_1" localSheetId="36">'4012'!$B$89</definedName>
    <definedName name="Weighted_FTE__From_Section_1" localSheetId="37">'4013'!$B$89</definedName>
    <definedName name="Weighted_FTE__From_Section_1" localSheetId="38">'4020'!$B$89</definedName>
    <definedName name="Weighted_FTE__From_Section_1" localSheetId="39">'4030'!$B$89</definedName>
    <definedName name="Weighted_FTE__From_Section_1" localSheetId="40">'4031'!$B$89</definedName>
    <definedName name="Weighted_FTE__From_Section_1" localSheetId="41">'4041'!$B$89</definedName>
    <definedName name="Weighted_FTE__From_Section_1" localSheetId="42">'4050'!$B$89</definedName>
    <definedName name="Weighted_FTE__From_Section_1" localSheetId="43">'4051'!$B$89</definedName>
    <definedName name="Weighted_FTE__From_Section_1" localSheetId="44">'4061'!$B$89</definedName>
    <definedName name="Weighted_FTE__From_Section_1" localSheetId="45">'4080'!$B$89</definedName>
    <definedName name="Weighted_FTE__From_Section_1" localSheetId="46">'4081'!$B$89</definedName>
    <definedName name="Weighted_FTE__From_Section_1" localSheetId="47">'4090'!$B$89</definedName>
    <definedName name="Weighted_FTE__From_Section_1" localSheetId="48">'4091'!$B$89</definedName>
    <definedName name="Weighted_FTE__From_Section_1" localSheetId="49">'4100'!$B$89</definedName>
    <definedName name="Weighted_FTE__From_Section_1" localSheetId="50">'4102'!$B$89</definedName>
    <definedName name="Weighted_FTE__From_Section_1" localSheetId="51">'4103'!$B$89</definedName>
    <definedName name="Weighted_FTE__From_Section_1" localSheetId="52">'4111'!$B$89</definedName>
    <definedName name="Weighted_FTE__From_Section_1" localSheetId="53">'4131'!$B$89</definedName>
    <definedName name="Weighted_FTE__From_Section_1">'0040'!$B$89</definedName>
    <definedName name="wrn.Base._.Data._.Comparison." localSheetId="5" hidden="1">{#N/A,#N/A,FALSE,"Summation";#N/A,#N/A,FALSE,"BSA";#N/A,#N/A,FALSE,"Detail1";#N/A,#N/A,FALSE,"Detail2";#N/A,#N/A,FALSE,"Detail3";#N/A,#N/A,FALSE,"WFTE_Summary";#N/A,#N/A,FALSE,"Funded_WFTE";#N/A,#N/A,FALSE,"PYADJ96"}</definedName>
    <definedName name="wrn.Base._.Data._.Comparison." localSheetId="6" hidden="1">{#N/A,#N/A,FALSE,"Summation";#N/A,#N/A,FALSE,"BSA";#N/A,#N/A,FALSE,"Detail1";#N/A,#N/A,FALSE,"Detail2";#N/A,#N/A,FALSE,"Detail3";#N/A,#N/A,FALSE,"WFTE_Summary";#N/A,#N/A,FALSE,"Funded_WFTE";#N/A,#N/A,FALSE,"PYADJ96"}</definedName>
    <definedName name="wrn.Base._.Data._.Comparison." localSheetId="7" hidden="1">{#N/A,#N/A,FALSE,"Summation";#N/A,#N/A,FALSE,"BSA";#N/A,#N/A,FALSE,"Detail1";#N/A,#N/A,FALSE,"Detail2";#N/A,#N/A,FALSE,"Detail3";#N/A,#N/A,FALSE,"WFTE_Summary";#N/A,#N/A,FALSE,"Funded_WFTE";#N/A,#N/A,FALSE,"PYADJ96"}</definedName>
    <definedName name="wrn.Base._.Data._.Comparison." localSheetId="8"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1"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3"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localSheetId="0"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53" i="56" l="1"/>
  <c r="J81" i="105"/>
  <c r="J81" i="104"/>
  <c r="J81" i="103"/>
  <c r="J111" i="101"/>
  <c r="J126" i="93"/>
  <c r="J81" i="89"/>
  <c r="J126" i="88"/>
  <c r="J81" i="88"/>
  <c r="J81" i="85"/>
  <c r="J126" i="82"/>
  <c r="J81" i="82"/>
  <c r="J126" i="81"/>
  <c r="J81" i="81"/>
  <c r="J81" i="79"/>
  <c r="J81" i="77"/>
  <c r="J37" i="76"/>
  <c r="J126" i="74"/>
  <c r="J81" i="74"/>
  <c r="J114" i="70"/>
  <c r="J114" i="69"/>
  <c r="J114" i="68"/>
  <c r="J116" i="61"/>
  <c r="J114" i="61"/>
  <c r="Y81" i="61"/>
  <c r="J126" i="59"/>
  <c r="J120" i="59"/>
  <c r="J82" i="59"/>
  <c r="I54" i="58" l="1"/>
  <c r="E263" i="106" l="1"/>
  <c r="E387" i="106"/>
  <c r="E162" i="106"/>
  <c r="E143" i="106"/>
  <c r="E110" i="106"/>
  <c r="E101" i="106"/>
  <c r="E90" i="106"/>
  <c r="E80" i="106"/>
  <c r="E72" i="106"/>
  <c r="E60" i="106"/>
  <c r="E37" i="106"/>
  <c r="G110" i="106"/>
  <c r="B2" i="106"/>
  <c r="F470" i="106"/>
  <c r="F462" i="106"/>
  <c r="D452" i="106"/>
  <c r="D443" i="106"/>
  <c r="D433" i="106"/>
  <c r="D425" i="106"/>
  <c r="D416" i="106"/>
  <c r="D406" i="106"/>
  <c r="D396" i="106"/>
  <c r="G387" i="106"/>
  <c r="D387" i="106"/>
  <c r="G380" i="106"/>
  <c r="D380" i="106"/>
  <c r="D371" i="106"/>
  <c r="D362" i="106"/>
  <c r="D355" i="106"/>
  <c r="D344" i="106"/>
  <c r="D334" i="106"/>
  <c r="D324" i="106"/>
  <c r="D315" i="106"/>
  <c r="D306" i="106"/>
  <c r="D298" i="106"/>
  <c r="D288" i="106"/>
  <c r="D279" i="106"/>
  <c r="D271" i="106"/>
  <c r="G263" i="106"/>
  <c r="D263" i="106"/>
  <c r="D253" i="106"/>
  <c r="D243" i="106"/>
  <c r="D234" i="106"/>
  <c r="D224" i="106"/>
  <c r="D213" i="106"/>
  <c r="D205" i="106"/>
  <c r="D194" i="106"/>
  <c r="D186" i="106"/>
  <c r="D179" i="106"/>
  <c r="D171" i="106"/>
  <c r="G162" i="106"/>
  <c r="D162" i="106"/>
  <c r="D152" i="106"/>
  <c r="G143" i="106"/>
  <c r="D143" i="106"/>
  <c r="D134" i="106"/>
  <c r="A134" i="106"/>
  <c r="A143" i="106" s="1"/>
  <c r="A152" i="106" s="1"/>
  <c r="A162" i="106" s="1"/>
  <c r="A171" i="106" s="1"/>
  <c r="A179" i="106" s="1"/>
  <c r="A186" i="106" s="1"/>
  <c r="A194" i="106" s="1"/>
  <c r="A205" i="106" s="1"/>
  <c r="A213" i="106" s="1"/>
  <c r="A224" i="106" s="1"/>
  <c r="A234" i="106" s="1"/>
  <c r="A243" i="106" s="1"/>
  <c r="A253" i="106" s="1"/>
  <c r="A263" i="106" s="1"/>
  <c r="A271" i="106" s="1"/>
  <c r="A279" i="106" s="1"/>
  <c r="A288" i="106" s="1"/>
  <c r="A298" i="106" s="1"/>
  <c r="A306" i="106" s="1"/>
  <c r="A315" i="106" s="1"/>
  <c r="A324" i="106" s="1"/>
  <c r="A334" i="106" s="1"/>
  <c r="A344" i="106" s="1"/>
  <c r="A355" i="106" s="1"/>
  <c r="A362" i="106" s="1"/>
  <c r="A371" i="106" s="1"/>
  <c r="A380" i="106" s="1"/>
  <c r="A387" i="106" s="1"/>
  <c r="A396" i="106" s="1"/>
  <c r="A406" i="106" s="1"/>
  <c r="A416" i="106" s="1"/>
  <c r="A425" i="106" s="1"/>
  <c r="A433" i="106" s="1"/>
  <c r="A443" i="106" s="1"/>
  <c r="A452" i="106" s="1"/>
  <c r="D125" i="106"/>
  <c r="D118" i="106"/>
  <c r="D110" i="106"/>
  <c r="G101" i="106"/>
  <c r="D101" i="106"/>
  <c r="G90" i="106"/>
  <c r="D90" i="106"/>
  <c r="G80" i="106"/>
  <c r="D80" i="106"/>
  <c r="G72" i="106"/>
  <c r="D72" i="106"/>
  <c r="G60" i="106"/>
  <c r="D60" i="106"/>
  <c r="D53" i="106"/>
  <c r="L42" i="106"/>
  <c r="G37" i="106"/>
  <c r="D37" i="106"/>
  <c r="A37" i="106"/>
  <c r="A53" i="106" s="1"/>
  <c r="A60" i="106" s="1"/>
  <c r="A72" i="106" s="1"/>
  <c r="A80" i="106" s="1"/>
  <c r="A90" i="106" s="1"/>
  <c r="A101" i="106" s="1"/>
  <c r="A110" i="106" s="1"/>
  <c r="A118" i="106" s="1"/>
  <c r="D8" i="106"/>
  <c r="F490" i="106" l="1"/>
  <c r="G490" i="106" s="1"/>
  <c r="F474" i="106"/>
  <c r="G474" i="106" s="1"/>
  <c r="F476" i="106"/>
  <c r="G476" i="106" s="1"/>
  <c r="F482" i="106"/>
  <c r="G482" i="106" s="1"/>
  <c r="F486" i="106"/>
  <c r="G486" i="106" s="1"/>
  <c r="F488" i="106"/>
  <c r="G488" i="106" s="1"/>
  <c r="G470" i="106"/>
  <c r="F471" i="106"/>
  <c r="G471" i="106" s="1"/>
  <c r="F473" i="106"/>
  <c r="G473" i="106" s="1"/>
  <c r="F475" i="106"/>
  <c r="G475" i="106" s="1"/>
  <c r="F477" i="106"/>
  <c r="G477" i="106" s="1"/>
  <c r="F479" i="106"/>
  <c r="G479" i="106" s="1"/>
  <c r="F481" i="106"/>
  <c r="G481" i="106" s="1"/>
  <c r="F483" i="106"/>
  <c r="G483" i="106" s="1"/>
  <c r="F485" i="106"/>
  <c r="G485" i="106" s="1"/>
  <c r="F487" i="106"/>
  <c r="G487" i="106" s="1"/>
  <c r="F489" i="106"/>
  <c r="G489" i="106" s="1"/>
  <c r="F491" i="106"/>
  <c r="G491" i="106" s="1"/>
  <c r="F472" i="106"/>
  <c r="G472" i="106" s="1"/>
  <c r="F478" i="106"/>
  <c r="G478" i="106" s="1"/>
  <c r="F480" i="106"/>
  <c r="G480" i="106" s="1"/>
  <c r="F484" i="106"/>
  <c r="G484" i="106" s="1"/>
  <c r="F493" i="106" l="1"/>
  <c r="F495" i="106" s="1"/>
  <c r="E124" i="57" l="1"/>
  <c r="Q5" i="57"/>
  <c r="G55" i="57"/>
  <c r="D55" i="57"/>
  <c r="I157" i="56"/>
  <c r="E120" i="56"/>
  <c r="E119" i="56"/>
  <c r="E118" i="56"/>
  <c r="D121" i="56"/>
  <c r="D120" i="56"/>
  <c r="D119" i="56"/>
  <c r="J102" i="56"/>
  <c r="J101" i="56"/>
  <c r="J100" i="56"/>
  <c r="J99" i="56"/>
  <c r="J98" i="56"/>
  <c r="J97" i="56"/>
  <c r="I89" i="56"/>
  <c r="D128" i="56"/>
  <c r="C128" i="56"/>
  <c r="D127" i="56"/>
  <c r="C127" i="56"/>
  <c r="J104" i="56"/>
  <c r="Y103" i="56" s="1"/>
  <c r="X105" i="56" s="1"/>
  <c r="Y102" i="56"/>
  <c r="D67" i="56"/>
  <c r="D66" i="56"/>
  <c r="D65" i="56"/>
  <c r="D64" i="56"/>
  <c r="D63" i="56"/>
  <c r="D62" i="56"/>
  <c r="D61" i="56"/>
  <c r="D60" i="56"/>
  <c r="D59" i="56"/>
  <c r="C67" i="56"/>
  <c r="C66" i="56"/>
  <c r="C65" i="56"/>
  <c r="C64" i="56"/>
  <c r="C63" i="56"/>
  <c r="C62" i="56"/>
  <c r="C61" i="56"/>
  <c r="C60" i="56"/>
  <c r="C59" i="56"/>
  <c r="D31" i="56"/>
  <c r="C31" i="56"/>
  <c r="C29" i="56"/>
  <c r="C28" i="56"/>
  <c r="C27" i="56"/>
  <c r="C26" i="56"/>
  <c r="C25" i="56"/>
  <c r="C24" i="56"/>
  <c r="F54" i="56"/>
  <c r="F53" i="56"/>
  <c r="K53" i="56" s="1"/>
  <c r="I32" i="56"/>
  <c r="F31" i="56"/>
  <c r="F29" i="56"/>
  <c r="F28" i="56"/>
  <c r="F27" i="56"/>
  <c r="F26" i="56"/>
  <c r="F25" i="56"/>
  <c r="F24" i="56"/>
  <c r="F23" i="56"/>
  <c r="F22" i="56"/>
  <c r="F21" i="56"/>
  <c r="F20" i="56"/>
  <c r="F19" i="56"/>
  <c r="F18" i="56"/>
  <c r="F17" i="56"/>
  <c r="F16" i="56"/>
  <c r="F15" i="56"/>
  <c r="F14" i="56"/>
  <c r="D29" i="56"/>
  <c r="D28" i="56"/>
  <c r="D27" i="56"/>
  <c r="D26" i="56"/>
  <c r="D25" i="56"/>
  <c r="D24" i="56"/>
  <c r="D23" i="56"/>
  <c r="D22" i="56"/>
  <c r="D21" i="56"/>
  <c r="D20" i="56"/>
  <c r="D19" i="56"/>
  <c r="D18" i="56"/>
  <c r="D17" i="56"/>
  <c r="D16" i="56"/>
  <c r="D15" i="56"/>
  <c r="D14" i="56"/>
  <c r="C23" i="56"/>
  <c r="C22" i="56"/>
  <c r="C21" i="56"/>
  <c r="C20" i="56"/>
  <c r="C19" i="56"/>
  <c r="C18" i="56"/>
  <c r="C17" i="56"/>
  <c r="C16" i="56"/>
  <c r="C15" i="56"/>
  <c r="C14" i="56"/>
  <c r="J103" i="56" l="1"/>
  <c r="I106" i="56" s="1"/>
  <c r="C30" i="56"/>
  <c r="C32" i="56" s="1"/>
  <c r="J118" i="105" l="1"/>
  <c r="J118" i="104"/>
  <c r="J118" i="103"/>
  <c r="J118" i="102"/>
  <c r="J118" i="101"/>
  <c r="J118" i="100"/>
  <c r="J118" i="99"/>
  <c r="J118" i="98"/>
  <c r="J118" i="97"/>
  <c r="R111" i="57"/>
  <c r="Q110" i="57"/>
  <c r="J118" i="96"/>
  <c r="J118" i="95"/>
  <c r="J118" i="94"/>
  <c r="J118" i="93"/>
  <c r="J118" i="92"/>
  <c r="J118" i="91"/>
  <c r="J118" i="90"/>
  <c r="J118" i="89"/>
  <c r="J118" i="88"/>
  <c r="J118" i="87"/>
  <c r="J118" i="86"/>
  <c r="J118" i="85"/>
  <c r="J118" i="84"/>
  <c r="J118" i="83"/>
  <c r="J118" i="82"/>
  <c r="J118" i="81"/>
  <c r="J118" i="80"/>
  <c r="J118" i="79"/>
  <c r="J118" i="78"/>
  <c r="J118" i="77"/>
  <c r="J118" i="76"/>
  <c r="J118" i="75"/>
  <c r="J118" i="74"/>
  <c r="J118" i="73"/>
  <c r="J118" i="72"/>
  <c r="J118" i="71"/>
  <c r="J118" i="70"/>
  <c r="J118" i="69"/>
  <c r="J118" i="68"/>
  <c r="J118" i="67"/>
  <c r="J118" i="66"/>
  <c r="J118" i="65"/>
  <c r="J118" i="64"/>
  <c r="J118" i="63"/>
  <c r="J118" i="62"/>
  <c r="J118" i="61"/>
  <c r="J118" i="60"/>
  <c r="J118" i="59"/>
  <c r="J118" i="58"/>
  <c r="J118" i="2"/>
  <c r="R118" i="57"/>
  <c r="R117" i="57"/>
  <c r="R116" i="57"/>
  <c r="R115" i="57"/>
  <c r="R114" i="57"/>
  <c r="R113" i="57"/>
  <c r="R112" i="57"/>
  <c r="R110" i="57"/>
  <c r="R109" i="57"/>
  <c r="R108" i="57"/>
  <c r="R107" i="57"/>
  <c r="R106" i="57"/>
  <c r="R105" i="57"/>
  <c r="R104" i="57"/>
  <c r="R103" i="57"/>
  <c r="R102" i="57"/>
  <c r="R101" i="57"/>
  <c r="R100" i="57"/>
  <c r="R99" i="57"/>
  <c r="R98" i="57"/>
  <c r="R97" i="57"/>
  <c r="R96" i="57"/>
  <c r="R95" i="57"/>
  <c r="R94" i="57"/>
  <c r="R93" i="57"/>
  <c r="R92" i="57"/>
  <c r="R91" i="57"/>
  <c r="R90" i="57"/>
  <c r="R89" i="57"/>
  <c r="R88" i="57"/>
  <c r="R87" i="57"/>
  <c r="R86" i="57"/>
  <c r="R85" i="57"/>
  <c r="R84" i="57"/>
  <c r="R83" i="57"/>
  <c r="R82" i="57"/>
  <c r="R81" i="57"/>
  <c r="R80" i="57"/>
  <c r="R79" i="57"/>
  <c r="R78" i="57"/>
  <c r="R77" i="57"/>
  <c r="R76" i="57"/>
  <c r="R75" i="57"/>
  <c r="R74" i="57"/>
  <c r="R73" i="57"/>
  <c r="R72" i="57"/>
  <c r="R71" i="57"/>
  <c r="R70" i="57"/>
  <c r="Q70" i="57"/>
  <c r="F122" i="57"/>
  <c r="Y106" i="105"/>
  <c r="T104" i="105"/>
  <c r="T103" i="105"/>
  <c r="X103" i="105" s="1"/>
  <c r="I103" i="105"/>
  <c r="T102" i="105"/>
  <c r="V102" i="105" s="1"/>
  <c r="V103" i="105" s="1"/>
  <c r="I102" i="105"/>
  <c r="I104" i="105" s="1"/>
  <c r="J104" i="105" s="1"/>
  <c r="G102" i="105"/>
  <c r="G103" i="105" s="1"/>
  <c r="I98" i="105"/>
  <c r="E98" i="105"/>
  <c r="X97" i="105"/>
  <c r="T97" i="105"/>
  <c r="I97" i="105"/>
  <c r="X96" i="105" s="1"/>
  <c r="Y96" i="105" s="1"/>
  <c r="E97" i="105"/>
  <c r="T96" i="105"/>
  <c r="T92" i="105"/>
  <c r="G92" i="105"/>
  <c r="V92" i="105" s="1"/>
  <c r="T91" i="105"/>
  <c r="G91" i="105"/>
  <c r="V91" i="105" s="1"/>
  <c r="T90" i="105"/>
  <c r="G90" i="105"/>
  <c r="V90" i="105" s="1"/>
  <c r="G87" i="105"/>
  <c r="V87" i="105" s="1"/>
  <c r="G86" i="105"/>
  <c r="G85" i="105"/>
  <c r="V85" i="105" s="1"/>
  <c r="G84" i="105"/>
  <c r="V83" i="105" s="1"/>
  <c r="J82" i="105"/>
  <c r="Y81" i="105" s="1"/>
  <c r="X83" i="105" s="1"/>
  <c r="Y80" i="105"/>
  <c r="G72" i="105"/>
  <c r="V71" i="105" s="1"/>
  <c r="G71" i="105"/>
  <c r="V70" i="105" s="1"/>
  <c r="G70" i="105"/>
  <c r="V69" i="105" s="1"/>
  <c r="G68" i="105"/>
  <c r="V67" i="105" s="1"/>
  <c r="I65" i="105"/>
  <c r="X64" i="105" s="1"/>
  <c r="I62" i="105"/>
  <c r="X61" i="105"/>
  <c r="I59" i="105"/>
  <c r="X58" i="105" s="1"/>
  <c r="I56" i="105"/>
  <c r="X55" i="105" s="1"/>
  <c r="I53" i="105"/>
  <c r="X52" i="105" s="1"/>
  <c r="T50" i="105"/>
  <c r="D50" i="105"/>
  <c r="E47" i="105" s="1"/>
  <c r="J47" i="105" s="1"/>
  <c r="C50" i="105"/>
  <c r="I49" i="105"/>
  <c r="X49" i="105" s="1"/>
  <c r="Y49" i="105" s="1"/>
  <c r="I48" i="105"/>
  <c r="X48" i="105" s="1"/>
  <c r="Y48" i="105" s="1"/>
  <c r="I47" i="105"/>
  <c r="X47" i="105" s="1"/>
  <c r="Y47" i="105" s="1"/>
  <c r="I46" i="105"/>
  <c r="X46" i="105" s="1"/>
  <c r="Y46" i="105" s="1"/>
  <c r="I45" i="105"/>
  <c r="X45" i="105" s="1"/>
  <c r="Y45" i="105" s="1"/>
  <c r="I44" i="105"/>
  <c r="X44" i="105" s="1"/>
  <c r="Y44" i="105" s="1"/>
  <c r="I43" i="105"/>
  <c r="X43" i="105" s="1"/>
  <c r="Y43" i="105" s="1"/>
  <c r="I42" i="105"/>
  <c r="X42" i="105" s="1"/>
  <c r="Y42" i="105" s="1"/>
  <c r="I41" i="105"/>
  <c r="X41" i="105" s="1"/>
  <c r="Y41" i="105" s="1"/>
  <c r="Y37" i="105"/>
  <c r="J37" i="105"/>
  <c r="Y36" i="105"/>
  <c r="Y38" i="105" s="1"/>
  <c r="J36" i="105"/>
  <c r="J38" i="105" s="1"/>
  <c r="G32" i="105"/>
  <c r="T31" i="105"/>
  <c r="V32" i="105" s="1"/>
  <c r="D28" i="105"/>
  <c r="E23" i="105" s="1"/>
  <c r="I23" i="105" s="1"/>
  <c r="C28" i="105"/>
  <c r="T27" i="105"/>
  <c r="X27" i="105" s="1"/>
  <c r="E27" i="105"/>
  <c r="I27" i="105" s="1"/>
  <c r="T26" i="105"/>
  <c r="X26" i="105" s="1"/>
  <c r="T25" i="105"/>
  <c r="X25" i="105" s="1"/>
  <c r="T24" i="105"/>
  <c r="X24" i="105" s="1"/>
  <c r="T23" i="105"/>
  <c r="X23" i="105" s="1"/>
  <c r="T22" i="105"/>
  <c r="X22" i="105" s="1"/>
  <c r="T21" i="105"/>
  <c r="X21" i="105" s="1"/>
  <c r="T20" i="105"/>
  <c r="X20" i="105" s="1"/>
  <c r="T19" i="105"/>
  <c r="X19" i="105" s="1"/>
  <c r="T18" i="105"/>
  <c r="X18" i="105" s="1"/>
  <c r="T17" i="105"/>
  <c r="X17" i="105" s="1"/>
  <c r="T16" i="105"/>
  <c r="X16" i="105" s="1"/>
  <c r="T15" i="105"/>
  <c r="X15" i="105" s="1"/>
  <c r="T14" i="105"/>
  <c r="X14" i="105" s="1"/>
  <c r="T13" i="105"/>
  <c r="T12" i="105"/>
  <c r="X12" i="105" s="1"/>
  <c r="I7" i="105"/>
  <c r="T6" i="105"/>
  <c r="I6" i="105"/>
  <c r="J31" i="105" s="1"/>
  <c r="Y31" i="105" s="1"/>
  <c r="Y32" i="105" s="1"/>
  <c r="R2" i="105"/>
  <c r="Y106" i="104"/>
  <c r="T104" i="104"/>
  <c r="T103" i="104"/>
  <c r="X103" i="104" s="1"/>
  <c r="I103" i="104"/>
  <c r="T102" i="104"/>
  <c r="X102" i="104" s="1"/>
  <c r="I102" i="104"/>
  <c r="I104" i="104" s="1"/>
  <c r="J104" i="104" s="1"/>
  <c r="G102" i="104"/>
  <c r="G103" i="104" s="1"/>
  <c r="I98" i="104"/>
  <c r="X97" i="104" s="1"/>
  <c r="E98" i="104"/>
  <c r="T97" i="104"/>
  <c r="I97" i="104"/>
  <c r="X96" i="104" s="1"/>
  <c r="E97" i="104"/>
  <c r="T96" i="104"/>
  <c r="T92" i="104"/>
  <c r="G92" i="104"/>
  <c r="V92" i="104" s="1"/>
  <c r="D92" i="104"/>
  <c r="V91" i="104"/>
  <c r="T91" i="104"/>
  <c r="G91" i="104"/>
  <c r="T90" i="104"/>
  <c r="G90" i="104"/>
  <c r="V90" i="104" s="1"/>
  <c r="G87" i="104"/>
  <c r="G86" i="104"/>
  <c r="V86" i="104" s="1"/>
  <c r="G85" i="104"/>
  <c r="G84" i="104"/>
  <c r="V83" i="104" s="1"/>
  <c r="J82" i="104"/>
  <c r="Y81" i="104" s="1"/>
  <c r="Y80" i="104"/>
  <c r="G72" i="104"/>
  <c r="G71" i="104"/>
  <c r="V70" i="104"/>
  <c r="G70" i="104"/>
  <c r="G68" i="104"/>
  <c r="V67" i="104" s="1"/>
  <c r="I65" i="104"/>
  <c r="X64" i="104" s="1"/>
  <c r="I62" i="104"/>
  <c r="X61" i="104" s="1"/>
  <c r="I59" i="104"/>
  <c r="X58" i="104" s="1"/>
  <c r="I56" i="104"/>
  <c r="X55" i="104" s="1"/>
  <c r="I53" i="104"/>
  <c r="X52" i="104" s="1"/>
  <c r="T50" i="104"/>
  <c r="D50" i="104"/>
  <c r="E46" i="104" s="1"/>
  <c r="C50" i="104"/>
  <c r="I49" i="104"/>
  <c r="X49" i="104" s="1"/>
  <c r="Y49" i="104" s="1"/>
  <c r="I48" i="104"/>
  <c r="X48" i="104" s="1"/>
  <c r="Y48" i="104" s="1"/>
  <c r="I47" i="104"/>
  <c r="X47" i="104" s="1"/>
  <c r="Y47" i="104" s="1"/>
  <c r="I46" i="104"/>
  <c r="X46" i="104" s="1"/>
  <c r="Y46" i="104" s="1"/>
  <c r="I45" i="104"/>
  <c r="X45" i="104" s="1"/>
  <c r="Y45" i="104" s="1"/>
  <c r="I44" i="104"/>
  <c r="X44" i="104" s="1"/>
  <c r="Y44" i="104" s="1"/>
  <c r="I43" i="104"/>
  <c r="X43" i="104" s="1"/>
  <c r="Y43" i="104" s="1"/>
  <c r="I42" i="104"/>
  <c r="X42" i="104" s="1"/>
  <c r="Y42" i="104" s="1"/>
  <c r="I41" i="104"/>
  <c r="X41" i="104" s="1"/>
  <c r="Y41" i="104" s="1"/>
  <c r="Y50" i="104" s="1"/>
  <c r="Y37" i="104"/>
  <c r="J37" i="104"/>
  <c r="Y36" i="104"/>
  <c r="Y38" i="104" s="1"/>
  <c r="J36" i="104"/>
  <c r="J38" i="104" s="1"/>
  <c r="V32" i="104"/>
  <c r="G32" i="104"/>
  <c r="T31" i="104"/>
  <c r="D28" i="104"/>
  <c r="E23" i="104" s="1"/>
  <c r="I23" i="104" s="1"/>
  <c r="C28" i="104"/>
  <c r="T27" i="104"/>
  <c r="X27" i="104" s="1"/>
  <c r="E27" i="104"/>
  <c r="I27" i="104" s="1"/>
  <c r="T26" i="104"/>
  <c r="X26" i="104" s="1"/>
  <c r="T25" i="104"/>
  <c r="X25" i="104" s="1"/>
  <c r="T24" i="104"/>
  <c r="X24" i="104" s="1"/>
  <c r="E24" i="104"/>
  <c r="I24" i="104" s="1"/>
  <c r="T23" i="104"/>
  <c r="X23" i="104" s="1"/>
  <c r="Y23" i="104" s="1"/>
  <c r="T22" i="104"/>
  <c r="X22" i="104" s="1"/>
  <c r="Y22" i="104" s="1"/>
  <c r="T21" i="104"/>
  <c r="X21" i="104" s="1"/>
  <c r="Y21" i="104" s="1"/>
  <c r="E21" i="104"/>
  <c r="I21" i="104" s="1"/>
  <c r="J21" i="104" s="1"/>
  <c r="T20" i="104"/>
  <c r="X20" i="104" s="1"/>
  <c r="Y20" i="104" s="1"/>
  <c r="E20" i="104"/>
  <c r="I20" i="104" s="1"/>
  <c r="J20" i="104" s="1"/>
  <c r="T19" i="104"/>
  <c r="X19" i="104" s="1"/>
  <c r="Y19" i="104" s="1"/>
  <c r="E19" i="104"/>
  <c r="I19" i="104" s="1"/>
  <c r="J19" i="104" s="1"/>
  <c r="T18" i="104"/>
  <c r="X18" i="104" s="1"/>
  <c r="Y18" i="104" s="1"/>
  <c r="E18" i="104"/>
  <c r="I18" i="104" s="1"/>
  <c r="J18" i="104" s="1"/>
  <c r="T17" i="104"/>
  <c r="X17" i="104" s="1"/>
  <c r="T16" i="104"/>
  <c r="X16" i="104" s="1"/>
  <c r="T15" i="104"/>
  <c r="X15" i="104" s="1"/>
  <c r="T14" i="104"/>
  <c r="X14" i="104" s="1"/>
  <c r="E14" i="104"/>
  <c r="I14" i="104" s="1"/>
  <c r="T13" i="104"/>
  <c r="X13" i="104" s="1"/>
  <c r="T12" i="104"/>
  <c r="X12" i="104" s="1"/>
  <c r="I7" i="104"/>
  <c r="T6" i="104"/>
  <c r="I6" i="104"/>
  <c r="J31" i="104" s="1"/>
  <c r="R2" i="104"/>
  <c r="Y106" i="103"/>
  <c r="T104" i="103"/>
  <c r="T103" i="103"/>
  <c r="X103" i="103" s="1"/>
  <c r="I103" i="103"/>
  <c r="X102" i="103"/>
  <c r="V102" i="103"/>
  <c r="V103" i="103" s="1"/>
  <c r="T102" i="103"/>
  <c r="I102" i="103"/>
  <c r="G102" i="103"/>
  <c r="G103" i="103" s="1"/>
  <c r="I98" i="103"/>
  <c r="J98" i="103" s="1"/>
  <c r="E98" i="103"/>
  <c r="T97" i="103"/>
  <c r="I97" i="103"/>
  <c r="J97" i="103" s="1"/>
  <c r="E97" i="103"/>
  <c r="T96" i="103"/>
  <c r="T92" i="103"/>
  <c r="G92" i="103"/>
  <c r="V92" i="103" s="1"/>
  <c r="T91" i="103"/>
  <c r="G91" i="103"/>
  <c r="V91" i="103" s="1"/>
  <c r="V90" i="103"/>
  <c r="T90" i="103"/>
  <c r="G90" i="103"/>
  <c r="G87" i="103"/>
  <c r="V87" i="103" s="1"/>
  <c r="G86" i="103"/>
  <c r="G85" i="103"/>
  <c r="V85" i="103" s="1"/>
  <c r="G84" i="103"/>
  <c r="V83" i="103" s="1"/>
  <c r="J82" i="103"/>
  <c r="Y81" i="103" s="1"/>
  <c r="X83" i="103" s="1"/>
  <c r="I84" i="103"/>
  <c r="Y80" i="103"/>
  <c r="G72" i="103"/>
  <c r="V71" i="103" s="1"/>
  <c r="G71" i="103"/>
  <c r="V70" i="103" s="1"/>
  <c r="G70" i="103"/>
  <c r="V69" i="103" s="1"/>
  <c r="G68" i="103"/>
  <c r="V67" i="103" s="1"/>
  <c r="I65" i="103"/>
  <c r="X64" i="103" s="1"/>
  <c r="I62" i="103"/>
  <c r="X61" i="103" s="1"/>
  <c r="I59" i="103"/>
  <c r="X58" i="103" s="1"/>
  <c r="I56" i="103"/>
  <c r="X55" i="103" s="1"/>
  <c r="I53" i="103"/>
  <c r="X52" i="103" s="1"/>
  <c r="T50" i="103"/>
  <c r="D50" i="103"/>
  <c r="E46" i="103" s="1"/>
  <c r="C50" i="103"/>
  <c r="I49" i="103"/>
  <c r="X49" i="103" s="1"/>
  <c r="Y49" i="103" s="1"/>
  <c r="X48" i="103"/>
  <c r="Y48" i="103" s="1"/>
  <c r="I48" i="103"/>
  <c r="I47" i="103"/>
  <c r="X47" i="103" s="1"/>
  <c r="Y47" i="103" s="1"/>
  <c r="I46" i="103"/>
  <c r="X46" i="103" s="1"/>
  <c r="Y46" i="103" s="1"/>
  <c r="I45" i="103"/>
  <c r="X45" i="103" s="1"/>
  <c r="Y45" i="103" s="1"/>
  <c r="I44" i="103"/>
  <c r="X44" i="103" s="1"/>
  <c r="Y44" i="103" s="1"/>
  <c r="I43" i="103"/>
  <c r="X43" i="103" s="1"/>
  <c r="Y43" i="103" s="1"/>
  <c r="I42" i="103"/>
  <c r="X42" i="103" s="1"/>
  <c r="Y42" i="103" s="1"/>
  <c r="I41" i="103"/>
  <c r="X41" i="103" s="1"/>
  <c r="Y41" i="103" s="1"/>
  <c r="Y37" i="103"/>
  <c r="J37" i="103"/>
  <c r="Y36" i="103"/>
  <c r="J36" i="103"/>
  <c r="J38" i="103" s="1"/>
  <c r="G32" i="103"/>
  <c r="T31" i="103"/>
  <c r="V32" i="103" s="1"/>
  <c r="D28" i="103"/>
  <c r="E23" i="103" s="1"/>
  <c r="I23" i="103" s="1"/>
  <c r="C28" i="103"/>
  <c r="T27" i="103"/>
  <c r="X27" i="103" s="1"/>
  <c r="E27" i="103"/>
  <c r="I27" i="103" s="1"/>
  <c r="T26" i="103"/>
  <c r="X26" i="103" s="1"/>
  <c r="T25" i="103"/>
  <c r="X25" i="103" s="1"/>
  <c r="E25" i="103"/>
  <c r="I25" i="103" s="1"/>
  <c r="T24" i="103"/>
  <c r="X24" i="103" s="1"/>
  <c r="T23" i="103"/>
  <c r="X23" i="103" s="1"/>
  <c r="T22" i="103"/>
  <c r="X22" i="103" s="1"/>
  <c r="Y22" i="103" s="1"/>
  <c r="E22" i="103"/>
  <c r="I22" i="103" s="1"/>
  <c r="J22" i="103" s="1"/>
  <c r="X21" i="103"/>
  <c r="Y21" i="103" s="1"/>
  <c r="T21" i="103"/>
  <c r="T20" i="103"/>
  <c r="X20" i="103" s="1"/>
  <c r="Y20" i="103" s="1"/>
  <c r="T19" i="103"/>
  <c r="X19" i="103" s="1"/>
  <c r="Y19" i="103" s="1"/>
  <c r="T18" i="103"/>
  <c r="X18" i="103" s="1"/>
  <c r="Y18" i="103" s="1"/>
  <c r="T17" i="103"/>
  <c r="X17" i="103" s="1"/>
  <c r="Y17" i="103" s="1"/>
  <c r="E17" i="103"/>
  <c r="I17" i="103" s="1"/>
  <c r="J17" i="103" s="1"/>
  <c r="T16" i="103"/>
  <c r="X16" i="103" s="1"/>
  <c r="T15" i="103"/>
  <c r="X15" i="103" s="1"/>
  <c r="E15" i="103"/>
  <c r="I15" i="103" s="1"/>
  <c r="T14" i="103"/>
  <c r="X14" i="103" s="1"/>
  <c r="E14" i="103"/>
  <c r="I14" i="103" s="1"/>
  <c r="T13" i="103"/>
  <c r="T12" i="103"/>
  <c r="X12" i="103" s="1"/>
  <c r="E12" i="103"/>
  <c r="I12" i="103" s="1"/>
  <c r="I7" i="103"/>
  <c r="T6" i="103"/>
  <c r="I6" i="103"/>
  <c r="J31" i="103" s="1"/>
  <c r="R2" i="103"/>
  <c r="Y106" i="102"/>
  <c r="T104" i="102"/>
  <c r="T103" i="102"/>
  <c r="X103" i="102" s="1"/>
  <c r="I103" i="102"/>
  <c r="T102" i="102"/>
  <c r="X102" i="102" s="1"/>
  <c r="I102" i="102"/>
  <c r="G102" i="102"/>
  <c r="G103" i="102" s="1"/>
  <c r="I98" i="102"/>
  <c r="J98" i="102" s="1"/>
  <c r="E98" i="102"/>
  <c r="T97" i="102"/>
  <c r="I97" i="102"/>
  <c r="X96" i="102" s="1"/>
  <c r="E97" i="102"/>
  <c r="T96" i="102"/>
  <c r="T92" i="102"/>
  <c r="G92" i="102"/>
  <c r="V92" i="102" s="1"/>
  <c r="V91" i="102"/>
  <c r="T91" i="102"/>
  <c r="G91" i="102"/>
  <c r="T90" i="102"/>
  <c r="G90" i="102"/>
  <c r="V90" i="102" s="1"/>
  <c r="G87" i="102"/>
  <c r="G86" i="102"/>
  <c r="V86" i="102" s="1"/>
  <c r="G85" i="102"/>
  <c r="V85" i="102" s="1"/>
  <c r="G84" i="102"/>
  <c r="V83" i="102" s="1"/>
  <c r="J82" i="102"/>
  <c r="Y81" i="102" s="1"/>
  <c r="X83" i="102" s="1"/>
  <c r="J81" i="102"/>
  <c r="Y80" i="102"/>
  <c r="G72" i="102"/>
  <c r="G71" i="102"/>
  <c r="V70" i="102" s="1"/>
  <c r="G70" i="102"/>
  <c r="V69" i="102" s="1"/>
  <c r="G68" i="102"/>
  <c r="V67" i="102" s="1"/>
  <c r="I65" i="102"/>
  <c r="X64" i="102" s="1"/>
  <c r="I62" i="102"/>
  <c r="X61" i="102" s="1"/>
  <c r="I59" i="102"/>
  <c r="X58" i="102" s="1"/>
  <c r="I56" i="102"/>
  <c r="X55" i="102" s="1"/>
  <c r="I53" i="102"/>
  <c r="X52" i="102" s="1"/>
  <c r="T50" i="102"/>
  <c r="D50" i="102"/>
  <c r="C50" i="102"/>
  <c r="I49" i="102"/>
  <c r="X49" i="102" s="1"/>
  <c r="Y49" i="102" s="1"/>
  <c r="I48" i="102"/>
  <c r="X48" i="102" s="1"/>
  <c r="Y48" i="102" s="1"/>
  <c r="I47" i="102"/>
  <c r="X47" i="102" s="1"/>
  <c r="Y47" i="102" s="1"/>
  <c r="I46" i="102"/>
  <c r="X46" i="102" s="1"/>
  <c r="Y46" i="102" s="1"/>
  <c r="I45" i="102"/>
  <c r="X45" i="102" s="1"/>
  <c r="Y45" i="102" s="1"/>
  <c r="I44" i="102"/>
  <c r="X44" i="102" s="1"/>
  <c r="Y44" i="102" s="1"/>
  <c r="I43" i="102"/>
  <c r="X43" i="102" s="1"/>
  <c r="Y43" i="102" s="1"/>
  <c r="I42" i="102"/>
  <c r="X42" i="102" s="1"/>
  <c r="Y42" i="102" s="1"/>
  <c r="I41" i="102"/>
  <c r="X41" i="102" s="1"/>
  <c r="Y41" i="102" s="1"/>
  <c r="Y37" i="102"/>
  <c r="J37" i="102"/>
  <c r="Y36" i="102"/>
  <c r="J36" i="102"/>
  <c r="J38" i="102" s="1"/>
  <c r="G32" i="102"/>
  <c r="T31" i="102"/>
  <c r="V32" i="102" s="1"/>
  <c r="D28" i="102"/>
  <c r="E23" i="102" s="1"/>
  <c r="C28" i="102"/>
  <c r="E27" i="102"/>
  <c r="I27" i="102" s="1"/>
  <c r="E24" i="102"/>
  <c r="I24" i="102" s="1"/>
  <c r="T23" i="102"/>
  <c r="X23" i="102" s="1"/>
  <c r="I23" i="102"/>
  <c r="E21" i="102"/>
  <c r="T21" i="102" s="1"/>
  <c r="X21" i="102" s="1"/>
  <c r="E20" i="102"/>
  <c r="T20" i="102" s="1"/>
  <c r="X20" i="102" s="1"/>
  <c r="E18" i="102"/>
  <c r="T18" i="102" s="1"/>
  <c r="X18" i="102" s="1"/>
  <c r="E17" i="102"/>
  <c r="I17" i="102" s="1"/>
  <c r="E14" i="102"/>
  <c r="I14" i="102" s="1"/>
  <c r="I7" i="102"/>
  <c r="T6" i="102"/>
  <c r="I6" i="102"/>
  <c r="D90" i="102" s="1"/>
  <c r="R2" i="102"/>
  <c r="Y106" i="101"/>
  <c r="T104" i="101"/>
  <c r="T103" i="101"/>
  <c r="X103" i="101" s="1"/>
  <c r="I103" i="101"/>
  <c r="T102" i="101"/>
  <c r="V102" i="101" s="1"/>
  <c r="V103" i="101" s="1"/>
  <c r="I102" i="101"/>
  <c r="J102" i="101" s="1"/>
  <c r="G102" i="101"/>
  <c r="G103" i="101" s="1"/>
  <c r="I98" i="101"/>
  <c r="E98" i="101"/>
  <c r="X97" i="101"/>
  <c r="T97" i="101"/>
  <c r="I97" i="101"/>
  <c r="X96" i="101" s="1"/>
  <c r="E97" i="101"/>
  <c r="J97" i="101" s="1"/>
  <c r="T96" i="101"/>
  <c r="T92" i="101"/>
  <c r="G92" i="101"/>
  <c r="V92" i="101" s="1"/>
  <c r="D92" i="101"/>
  <c r="T91" i="101"/>
  <c r="G91" i="101"/>
  <c r="V91" i="101" s="1"/>
  <c r="T90" i="101"/>
  <c r="G90" i="101"/>
  <c r="V90" i="101" s="1"/>
  <c r="G87" i="101"/>
  <c r="V87" i="101" s="1"/>
  <c r="G86" i="101"/>
  <c r="V86" i="101" s="1"/>
  <c r="G85" i="101"/>
  <c r="G84" i="101"/>
  <c r="V83" i="101"/>
  <c r="J82" i="101"/>
  <c r="Y81" i="101" s="1"/>
  <c r="J81" i="101"/>
  <c r="Y80" i="101"/>
  <c r="G72" i="101"/>
  <c r="V71" i="101" s="1"/>
  <c r="G71" i="101"/>
  <c r="V70" i="101" s="1"/>
  <c r="G70" i="101"/>
  <c r="G68" i="101"/>
  <c r="V67" i="101" s="1"/>
  <c r="I65" i="101"/>
  <c r="X64" i="101" s="1"/>
  <c r="I62" i="101"/>
  <c r="X61" i="101" s="1"/>
  <c r="I59" i="101"/>
  <c r="X58" i="101" s="1"/>
  <c r="I56" i="101"/>
  <c r="X55" i="101" s="1"/>
  <c r="I53" i="101"/>
  <c r="X52" i="101" s="1"/>
  <c r="T50" i="101"/>
  <c r="D50" i="101"/>
  <c r="E46" i="101" s="1"/>
  <c r="C50" i="101"/>
  <c r="I49" i="101"/>
  <c r="X49" i="101" s="1"/>
  <c r="Y49" i="101" s="1"/>
  <c r="I48" i="101"/>
  <c r="X48" i="101" s="1"/>
  <c r="Y48" i="101" s="1"/>
  <c r="I47" i="101"/>
  <c r="X47" i="101" s="1"/>
  <c r="Y47" i="101" s="1"/>
  <c r="I46" i="101"/>
  <c r="X46" i="101" s="1"/>
  <c r="Y46" i="101" s="1"/>
  <c r="I45" i="101"/>
  <c r="X45" i="101" s="1"/>
  <c r="Y45" i="101" s="1"/>
  <c r="I44" i="101"/>
  <c r="X44" i="101" s="1"/>
  <c r="Y44" i="101" s="1"/>
  <c r="I43" i="101"/>
  <c r="X43" i="101" s="1"/>
  <c r="Y43" i="101" s="1"/>
  <c r="I42" i="101"/>
  <c r="X42" i="101" s="1"/>
  <c r="Y42" i="101" s="1"/>
  <c r="I41" i="101"/>
  <c r="X41" i="101" s="1"/>
  <c r="Y41" i="101" s="1"/>
  <c r="Y50" i="101" s="1"/>
  <c r="Y37" i="101"/>
  <c r="J37" i="101"/>
  <c r="Y36" i="101"/>
  <c r="J36" i="101"/>
  <c r="J38" i="101" s="1"/>
  <c r="G32" i="101"/>
  <c r="T31" i="101"/>
  <c r="V32" i="101" s="1"/>
  <c r="D28" i="101"/>
  <c r="E23" i="101" s="1"/>
  <c r="I23" i="101" s="1"/>
  <c r="C28" i="101"/>
  <c r="E24" i="101"/>
  <c r="I24" i="101" s="1"/>
  <c r="J24" i="101" s="1"/>
  <c r="T23" i="101"/>
  <c r="X23" i="101" s="1"/>
  <c r="Y23" i="101" s="1"/>
  <c r="E21" i="101"/>
  <c r="I21" i="101" s="1"/>
  <c r="J21" i="101" s="1"/>
  <c r="E20" i="101"/>
  <c r="I20" i="101" s="1"/>
  <c r="J20" i="101" s="1"/>
  <c r="E14" i="101"/>
  <c r="I14" i="101" s="1"/>
  <c r="I7" i="101"/>
  <c r="T6" i="101"/>
  <c r="I6" i="101"/>
  <c r="J31" i="101" s="1"/>
  <c r="R2" i="101"/>
  <c r="Y106" i="100"/>
  <c r="T104" i="100"/>
  <c r="I104" i="100"/>
  <c r="J104" i="100" s="1"/>
  <c r="T103" i="100"/>
  <c r="X103" i="100" s="1"/>
  <c r="I103" i="100"/>
  <c r="T102" i="100"/>
  <c r="X102" i="100" s="1"/>
  <c r="I102" i="100"/>
  <c r="G102" i="100"/>
  <c r="G103" i="100" s="1"/>
  <c r="I98" i="100"/>
  <c r="X97" i="100" s="1"/>
  <c r="E98" i="100"/>
  <c r="T97" i="100"/>
  <c r="I97" i="100"/>
  <c r="X96" i="100" s="1"/>
  <c r="E97" i="100"/>
  <c r="J97" i="100" s="1"/>
  <c r="T96" i="100"/>
  <c r="T92" i="100"/>
  <c r="G92" i="100"/>
  <c r="V92" i="100" s="1"/>
  <c r="D92" i="100"/>
  <c r="T91" i="100"/>
  <c r="G91" i="100"/>
  <c r="V91" i="100" s="1"/>
  <c r="T90" i="100"/>
  <c r="G90" i="100"/>
  <c r="V90" i="100" s="1"/>
  <c r="D90" i="100"/>
  <c r="G87" i="100"/>
  <c r="V87" i="100" s="1"/>
  <c r="G86" i="100"/>
  <c r="V86" i="100" s="1"/>
  <c r="G85" i="100"/>
  <c r="V85" i="100" s="1"/>
  <c r="G84" i="100"/>
  <c r="V83" i="100" s="1"/>
  <c r="J82" i="100"/>
  <c r="Y81" i="100" s="1"/>
  <c r="J81" i="100"/>
  <c r="I84" i="100" s="1"/>
  <c r="Y80" i="100"/>
  <c r="G72" i="100"/>
  <c r="G71" i="100"/>
  <c r="V70" i="100" s="1"/>
  <c r="G70" i="100"/>
  <c r="V69" i="100" s="1"/>
  <c r="G68" i="100"/>
  <c r="V67" i="100" s="1"/>
  <c r="I65" i="100"/>
  <c r="X64" i="100" s="1"/>
  <c r="I62" i="100"/>
  <c r="X61" i="100" s="1"/>
  <c r="I59" i="100"/>
  <c r="X58" i="100" s="1"/>
  <c r="I56" i="100"/>
  <c r="X55" i="100" s="1"/>
  <c r="I53" i="100"/>
  <c r="X52" i="100"/>
  <c r="T50" i="100"/>
  <c r="D50" i="100"/>
  <c r="E46" i="100" s="1"/>
  <c r="J46" i="100" s="1"/>
  <c r="C50" i="100"/>
  <c r="I49" i="100"/>
  <c r="X49" i="100" s="1"/>
  <c r="Y49" i="100" s="1"/>
  <c r="I48" i="100"/>
  <c r="X48" i="100" s="1"/>
  <c r="Y48" i="100" s="1"/>
  <c r="I47" i="100"/>
  <c r="X47" i="100" s="1"/>
  <c r="Y47" i="100" s="1"/>
  <c r="I46" i="100"/>
  <c r="X46" i="100" s="1"/>
  <c r="Y46" i="100" s="1"/>
  <c r="I45" i="100"/>
  <c r="X45" i="100" s="1"/>
  <c r="Y45" i="100" s="1"/>
  <c r="I44" i="100"/>
  <c r="X44" i="100" s="1"/>
  <c r="Y44" i="100" s="1"/>
  <c r="I43" i="100"/>
  <c r="X43" i="100" s="1"/>
  <c r="Y43" i="100" s="1"/>
  <c r="I42" i="100"/>
  <c r="X42" i="100" s="1"/>
  <c r="Y42" i="100" s="1"/>
  <c r="I41" i="100"/>
  <c r="X41" i="100" s="1"/>
  <c r="Y41" i="100" s="1"/>
  <c r="Y37" i="100"/>
  <c r="J37" i="100"/>
  <c r="Y36" i="100"/>
  <c r="Y38" i="100" s="1"/>
  <c r="J36" i="100"/>
  <c r="J38" i="100" s="1"/>
  <c r="G32" i="100"/>
  <c r="T31" i="100"/>
  <c r="V32" i="100" s="1"/>
  <c r="D28" i="100"/>
  <c r="E26" i="100" s="1"/>
  <c r="I26" i="100" s="1"/>
  <c r="J26" i="100" s="1"/>
  <c r="C28" i="100"/>
  <c r="T27" i="100"/>
  <c r="X27" i="100" s="1"/>
  <c r="Y27" i="100" s="1"/>
  <c r="E27" i="100"/>
  <c r="I27" i="100" s="1"/>
  <c r="J27" i="100" s="1"/>
  <c r="T26" i="100"/>
  <c r="X26" i="100" s="1"/>
  <c r="Y26" i="100" s="1"/>
  <c r="T25" i="100"/>
  <c r="X25" i="100" s="1"/>
  <c r="Y25" i="100" s="1"/>
  <c r="T24" i="100"/>
  <c r="X24" i="100" s="1"/>
  <c r="T23" i="100"/>
  <c r="X23" i="100" s="1"/>
  <c r="T22" i="100"/>
  <c r="X22" i="100" s="1"/>
  <c r="Y22" i="100" s="1"/>
  <c r="T21" i="100"/>
  <c r="X21" i="100" s="1"/>
  <c r="Y21" i="100" s="1"/>
  <c r="T20" i="100"/>
  <c r="X20" i="100" s="1"/>
  <c r="Y20" i="100" s="1"/>
  <c r="T19" i="100"/>
  <c r="X19" i="100" s="1"/>
  <c r="Y19" i="100" s="1"/>
  <c r="T18" i="100"/>
  <c r="X18" i="100" s="1"/>
  <c r="Y18" i="100" s="1"/>
  <c r="T17" i="100"/>
  <c r="X17" i="100" s="1"/>
  <c r="Y17" i="100" s="1"/>
  <c r="T16" i="100"/>
  <c r="X16" i="100" s="1"/>
  <c r="T15" i="100"/>
  <c r="X15" i="100" s="1"/>
  <c r="Y15" i="100" s="1"/>
  <c r="T14" i="100"/>
  <c r="X14" i="100" s="1"/>
  <c r="E14" i="100"/>
  <c r="I14" i="100" s="1"/>
  <c r="T13" i="100"/>
  <c r="E13" i="100"/>
  <c r="I13" i="100" s="1"/>
  <c r="J13" i="100" s="1"/>
  <c r="T12" i="100"/>
  <c r="X12" i="100" s="1"/>
  <c r="I7" i="100"/>
  <c r="T6" i="100"/>
  <c r="I6" i="100"/>
  <c r="J31" i="100" s="1"/>
  <c r="R2" i="100"/>
  <c r="Y106" i="99"/>
  <c r="T104" i="99"/>
  <c r="T103" i="99"/>
  <c r="X103" i="99" s="1"/>
  <c r="I103" i="99"/>
  <c r="T102" i="99"/>
  <c r="V102" i="99" s="1"/>
  <c r="V103" i="99" s="1"/>
  <c r="I102" i="99"/>
  <c r="I104" i="99" s="1"/>
  <c r="J104" i="99" s="1"/>
  <c r="G102" i="99"/>
  <c r="G103" i="99" s="1"/>
  <c r="I98" i="99"/>
  <c r="X97" i="99" s="1"/>
  <c r="E98" i="99"/>
  <c r="T97" i="99"/>
  <c r="I97" i="99"/>
  <c r="X96" i="99" s="1"/>
  <c r="E97" i="99"/>
  <c r="T96" i="99"/>
  <c r="T92" i="99"/>
  <c r="G92" i="99"/>
  <c r="V92" i="99" s="1"/>
  <c r="V91" i="99"/>
  <c r="T91" i="99"/>
  <c r="G91" i="99"/>
  <c r="T90" i="99"/>
  <c r="G90" i="99"/>
  <c r="V90" i="99" s="1"/>
  <c r="G87" i="99"/>
  <c r="G86" i="99"/>
  <c r="V86" i="99" s="1"/>
  <c r="G85" i="99"/>
  <c r="G84" i="99"/>
  <c r="V83" i="99" s="1"/>
  <c r="J82" i="99"/>
  <c r="Y81" i="99" s="1"/>
  <c r="J81" i="99"/>
  <c r="I84" i="99" s="1"/>
  <c r="Y80" i="99"/>
  <c r="G72" i="99"/>
  <c r="G71" i="99"/>
  <c r="V70" i="99" s="1"/>
  <c r="G70" i="99"/>
  <c r="V69" i="99" s="1"/>
  <c r="G68" i="99"/>
  <c r="V67" i="99" s="1"/>
  <c r="I65" i="99"/>
  <c r="X64" i="99" s="1"/>
  <c r="I62" i="99"/>
  <c r="X61" i="99" s="1"/>
  <c r="I59" i="99"/>
  <c r="X58" i="99" s="1"/>
  <c r="I56" i="99"/>
  <c r="X55" i="99" s="1"/>
  <c r="I53" i="99"/>
  <c r="X52" i="99" s="1"/>
  <c r="T50" i="99"/>
  <c r="D50" i="99"/>
  <c r="E46" i="99" s="1"/>
  <c r="C50" i="99"/>
  <c r="I49" i="99"/>
  <c r="X49" i="99" s="1"/>
  <c r="Y49" i="99" s="1"/>
  <c r="I48" i="99"/>
  <c r="X48" i="99" s="1"/>
  <c r="Y48" i="99" s="1"/>
  <c r="I47" i="99"/>
  <c r="X47" i="99" s="1"/>
  <c r="Y47" i="99" s="1"/>
  <c r="I46" i="99"/>
  <c r="X46" i="99" s="1"/>
  <c r="Y46" i="99" s="1"/>
  <c r="I45" i="99"/>
  <c r="X45" i="99" s="1"/>
  <c r="Y45" i="99" s="1"/>
  <c r="I44" i="99"/>
  <c r="X44" i="99" s="1"/>
  <c r="Y44" i="99" s="1"/>
  <c r="I43" i="99"/>
  <c r="X43" i="99" s="1"/>
  <c r="Y43" i="99" s="1"/>
  <c r="I42" i="99"/>
  <c r="X42" i="99" s="1"/>
  <c r="Y42" i="99" s="1"/>
  <c r="I41" i="99"/>
  <c r="X41" i="99" s="1"/>
  <c r="Y41" i="99" s="1"/>
  <c r="Y37" i="99"/>
  <c r="J37" i="99"/>
  <c r="Y36" i="99"/>
  <c r="J36" i="99"/>
  <c r="J38" i="99" s="1"/>
  <c r="V32" i="99"/>
  <c r="G32" i="99"/>
  <c r="T31" i="99"/>
  <c r="D28" i="99"/>
  <c r="E23" i="99" s="1"/>
  <c r="I23" i="99" s="1"/>
  <c r="C28" i="99"/>
  <c r="T27" i="99"/>
  <c r="X27" i="99" s="1"/>
  <c r="E27" i="99"/>
  <c r="I27" i="99" s="1"/>
  <c r="T26" i="99"/>
  <c r="X26" i="99" s="1"/>
  <c r="T25" i="99"/>
  <c r="X25" i="99" s="1"/>
  <c r="T24" i="99"/>
  <c r="X24" i="99" s="1"/>
  <c r="Y24" i="99" s="1"/>
  <c r="T23" i="99"/>
  <c r="X23" i="99" s="1"/>
  <c r="Y23" i="99" s="1"/>
  <c r="T22" i="99"/>
  <c r="X22" i="99" s="1"/>
  <c r="Y22" i="99" s="1"/>
  <c r="T21" i="99"/>
  <c r="X21" i="99" s="1"/>
  <c r="Y21" i="99" s="1"/>
  <c r="E21" i="99"/>
  <c r="I21" i="99" s="1"/>
  <c r="J21" i="99" s="1"/>
  <c r="T20" i="99"/>
  <c r="X20" i="99" s="1"/>
  <c r="Y20" i="99" s="1"/>
  <c r="E20" i="99"/>
  <c r="I20" i="99" s="1"/>
  <c r="J20" i="99" s="1"/>
  <c r="T19" i="99"/>
  <c r="X19" i="99" s="1"/>
  <c r="Y19" i="99" s="1"/>
  <c r="T18" i="99"/>
  <c r="X18" i="99" s="1"/>
  <c r="E18" i="99"/>
  <c r="I18" i="99" s="1"/>
  <c r="T17" i="99"/>
  <c r="X17" i="99" s="1"/>
  <c r="T16" i="99"/>
  <c r="X16" i="99" s="1"/>
  <c r="T15" i="99"/>
  <c r="X15" i="99" s="1"/>
  <c r="T14" i="99"/>
  <c r="X14" i="99" s="1"/>
  <c r="E14" i="99"/>
  <c r="I14" i="99" s="1"/>
  <c r="T13" i="99"/>
  <c r="X13" i="99" s="1"/>
  <c r="T12" i="99"/>
  <c r="X12" i="99" s="1"/>
  <c r="I7" i="99"/>
  <c r="T6" i="99"/>
  <c r="I6" i="99"/>
  <c r="J31" i="99" s="1"/>
  <c r="R2" i="99"/>
  <c r="Y106" i="98"/>
  <c r="T104" i="98"/>
  <c r="I104" i="98"/>
  <c r="J104" i="98" s="1"/>
  <c r="T103" i="98"/>
  <c r="X103" i="98" s="1"/>
  <c r="I103" i="98"/>
  <c r="X102" i="98"/>
  <c r="T102" i="98"/>
  <c r="V102" i="98" s="1"/>
  <c r="V103" i="98" s="1"/>
  <c r="I102" i="98"/>
  <c r="G102" i="98"/>
  <c r="G103" i="98" s="1"/>
  <c r="I98" i="98"/>
  <c r="J98" i="98" s="1"/>
  <c r="E98" i="98"/>
  <c r="X97" i="98"/>
  <c r="T97" i="98"/>
  <c r="I97" i="98"/>
  <c r="X96" i="98" s="1"/>
  <c r="E97" i="98"/>
  <c r="J97" i="98" s="1"/>
  <c r="T96" i="98"/>
  <c r="T92" i="98"/>
  <c r="G92" i="98"/>
  <c r="V92" i="98" s="1"/>
  <c r="D92" i="98"/>
  <c r="T91" i="98"/>
  <c r="G91" i="98"/>
  <c r="V91" i="98" s="1"/>
  <c r="T90" i="98"/>
  <c r="G90" i="98"/>
  <c r="V90" i="98" s="1"/>
  <c r="D90" i="98"/>
  <c r="G87" i="98"/>
  <c r="G86" i="98"/>
  <c r="V86" i="98" s="1"/>
  <c r="G85" i="98"/>
  <c r="G84" i="98"/>
  <c r="V83" i="98"/>
  <c r="J82" i="98"/>
  <c r="Y81" i="98" s="1"/>
  <c r="X83" i="98" s="1"/>
  <c r="J81" i="98"/>
  <c r="Y80" i="98"/>
  <c r="G72" i="98"/>
  <c r="V71" i="98"/>
  <c r="G71" i="98"/>
  <c r="V70" i="98" s="1"/>
  <c r="G70" i="98"/>
  <c r="V69" i="98" s="1"/>
  <c r="G68" i="98"/>
  <c r="V67" i="98" s="1"/>
  <c r="I65" i="98"/>
  <c r="X64" i="98" s="1"/>
  <c r="I62" i="98"/>
  <c r="X61" i="98" s="1"/>
  <c r="I59" i="98"/>
  <c r="X58" i="98" s="1"/>
  <c r="I56" i="98"/>
  <c r="X55" i="98" s="1"/>
  <c r="I53" i="98"/>
  <c r="X52" i="98" s="1"/>
  <c r="T50" i="98"/>
  <c r="D50" i="98"/>
  <c r="E46" i="98" s="1"/>
  <c r="C50" i="98"/>
  <c r="I49" i="98"/>
  <c r="X49" i="98" s="1"/>
  <c r="Y49" i="98" s="1"/>
  <c r="X48" i="98"/>
  <c r="Y48" i="98" s="1"/>
  <c r="I48" i="98"/>
  <c r="I47" i="98"/>
  <c r="X47" i="98" s="1"/>
  <c r="Y47" i="98" s="1"/>
  <c r="I46" i="98"/>
  <c r="X46" i="98" s="1"/>
  <c r="Y46" i="98" s="1"/>
  <c r="I45" i="98"/>
  <c r="X45" i="98" s="1"/>
  <c r="Y45" i="98" s="1"/>
  <c r="I44" i="98"/>
  <c r="X44" i="98" s="1"/>
  <c r="Y44" i="98" s="1"/>
  <c r="I43" i="98"/>
  <c r="X43" i="98" s="1"/>
  <c r="Y43" i="98" s="1"/>
  <c r="I42" i="98"/>
  <c r="X42" i="98" s="1"/>
  <c r="Y42" i="98" s="1"/>
  <c r="I41" i="98"/>
  <c r="X41" i="98" s="1"/>
  <c r="Y41" i="98" s="1"/>
  <c r="Y37" i="98"/>
  <c r="J37" i="98"/>
  <c r="Y36" i="98"/>
  <c r="Y38" i="98" s="1"/>
  <c r="J36" i="98"/>
  <c r="J38" i="98" s="1"/>
  <c r="V32" i="98"/>
  <c r="G32" i="98"/>
  <c r="T31" i="98"/>
  <c r="D28" i="98"/>
  <c r="E23" i="98" s="1"/>
  <c r="I23" i="98" s="1"/>
  <c r="C28" i="98"/>
  <c r="T27" i="98"/>
  <c r="X27" i="98" s="1"/>
  <c r="E27" i="98"/>
  <c r="I27" i="98" s="1"/>
  <c r="T26" i="98"/>
  <c r="X26" i="98" s="1"/>
  <c r="T25" i="98"/>
  <c r="X25" i="98" s="1"/>
  <c r="E25" i="98"/>
  <c r="I25" i="98" s="1"/>
  <c r="T24" i="98"/>
  <c r="X24" i="98" s="1"/>
  <c r="Y24" i="98" s="1"/>
  <c r="E24" i="98"/>
  <c r="I24" i="98" s="1"/>
  <c r="J24" i="98" s="1"/>
  <c r="T23" i="98"/>
  <c r="X23" i="98" s="1"/>
  <c r="Y23" i="98" s="1"/>
  <c r="T22" i="98"/>
  <c r="X22" i="98" s="1"/>
  <c r="Y22" i="98" s="1"/>
  <c r="T21" i="98"/>
  <c r="X21" i="98" s="1"/>
  <c r="Y21" i="98" s="1"/>
  <c r="T20" i="98"/>
  <c r="X20" i="98" s="1"/>
  <c r="Y20" i="98" s="1"/>
  <c r="T19" i="98"/>
  <c r="X19" i="98" s="1"/>
  <c r="Y19" i="98" s="1"/>
  <c r="T18" i="98"/>
  <c r="X18" i="98" s="1"/>
  <c r="Y18" i="98" s="1"/>
  <c r="T17" i="98"/>
  <c r="X17" i="98" s="1"/>
  <c r="Y17" i="98" s="1"/>
  <c r="E17" i="98"/>
  <c r="I17" i="98" s="1"/>
  <c r="J17" i="98" s="1"/>
  <c r="T16" i="98"/>
  <c r="X16" i="98" s="1"/>
  <c r="T15" i="98"/>
  <c r="X15" i="98" s="1"/>
  <c r="T14" i="98"/>
  <c r="X14" i="98" s="1"/>
  <c r="E14" i="98"/>
  <c r="I14" i="98" s="1"/>
  <c r="T13" i="98"/>
  <c r="X13" i="98" s="1"/>
  <c r="T12" i="98"/>
  <c r="X12" i="98" s="1"/>
  <c r="I7" i="98"/>
  <c r="T6" i="98"/>
  <c r="I6" i="98"/>
  <c r="J31" i="98" s="1"/>
  <c r="R2" i="98"/>
  <c r="Y106" i="97"/>
  <c r="T104" i="97"/>
  <c r="I104" i="97"/>
  <c r="J104" i="97" s="1"/>
  <c r="T103" i="97"/>
  <c r="X103" i="97" s="1"/>
  <c r="I103" i="97"/>
  <c r="J103" i="97" s="1"/>
  <c r="T102" i="97"/>
  <c r="V102" i="97" s="1"/>
  <c r="V103" i="97" s="1"/>
  <c r="I102" i="97"/>
  <c r="J102" i="97" s="1"/>
  <c r="G102" i="97"/>
  <c r="G103" i="97" s="1"/>
  <c r="I98" i="97"/>
  <c r="J98" i="97" s="1"/>
  <c r="E98" i="97"/>
  <c r="T97" i="97"/>
  <c r="I97" i="97"/>
  <c r="X96" i="97" s="1"/>
  <c r="E97" i="97"/>
  <c r="T96" i="97"/>
  <c r="T92" i="97"/>
  <c r="G92" i="97"/>
  <c r="V92" i="97" s="1"/>
  <c r="D92" i="97"/>
  <c r="T91" i="97"/>
  <c r="G91" i="97"/>
  <c r="V91" i="97" s="1"/>
  <c r="T90" i="97"/>
  <c r="G90" i="97"/>
  <c r="V90" i="97" s="1"/>
  <c r="D90" i="97"/>
  <c r="G87" i="97"/>
  <c r="G86" i="97"/>
  <c r="V86" i="97" s="1"/>
  <c r="G85" i="97"/>
  <c r="V85" i="97" s="1"/>
  <c r="G84" i="97"/>
  <c r="V83" i="97" s="1"/>
  <c r="J82" i="97"/>
  <c r="Y81" i="97" s="1"/>
  <c r="X83" i="97" s="1"/>
  <c r="J81" i="97"/>
  <c r="Y80" i="97"/>
  <c r="G72" i="97"/>
  <c r="V71" i="97" s="1"/>
  <c r="G71" i="97"/>
  <c r="V70" i="97" s="1"/>
  <c r="G70" i="97"/>
  <c r="V69" i="97" s="1"/>
  <c r="G68" i="97"/>
  <c r="V67" i="97" s="1"/>
  <c r="I65" i="97"/>
  <c r="X64" i="97" s="1"/>
  <c r="I62" i="97"/>
  <c r="X61" i="97" s="1"/>
  <c r="I59" i="97"/>
  <c r="X58" i="97" s="1"/>
  <c r="I56" i="97"/>
  <c r="X55" i="97" s="1"/>
  <c r="I53" i="97"/>
  <c r="X52" i="97" s="1"/>
  <c r="T50" i="97"/>
  <c r="D50" i="97"/>
  <c r="E46" i="97" s="1"/>
  <c r="C50" i="97"/>
  <c r="I49" i="97"/>
  <c r="X49" i="97" s="1"/>
  <c r="Y49" i="97" s="1"/>
  <c r="X48" i="97"/>
  <c r="Y48" i="97" s="1"/>
  <c r="I48" i="97"/>
  <c r="I47" i="97"/>
  <c r="X47" i="97" s="1"/>
  <c r="Y47" i="97" s="1"/>
  <c r="I46" i="97"/>
  <c r="X46" i="97" s="1"/>
  <c r="Y46" i="97" s="1"/>
  <c r="I45" i="97"/>
  <c r="X45" i="97" s="1"/>
  <c r="Y45" i="97" s="1"/>
  <c r="I44" i="97"/>
  <c r="X44" i="97" s="1"/>
  <c r="Y44" i="97" s="1"/>
  <c r="I43" i="97"/>
  <c r="X43" i="97" s="1"/>
  <c r="Y43" i="97" s="1"/>
  <c r="I42" i="97"/>
  <c r="X42" i="97" s="1"/>
  <c r="Y42" i="97" s="1"/>
  <c r="I41" i="97"/>
  <c r="X41" i="97" s="1"/>
  <c r="Y41" i="97" s="1"/>
  <c r="Y37" i="97"/>
  <c r="J37" i="97"/>
  <c r="Y36" i="97"/>
  <c r="Y38" i="97" s="1"/>
  <c r="J36" i="97"/>
  <c r="G32" i="97"/>
  <c r="T31" i="97"/>
  <c r="V32" i="97" s="1"/>
  <c r="D28" i="97"/>
  <c r="E23" i="97" s="1"/>
  <c r="I23" i="97" s="1"/>
  <c r="J23" i="97" s="1"/>
  <c r="C28" i="97"/>
  <c r="T27" i="97"/>
  <c r="X27" i="97" s="1"/>
  <c r="T26" i="97"/>
  <c r="X26" i="97" s="1"/>
  <c r="T25" i="97"/>
  <c r="X25" i="97" s="1"/>
  <c r="T24" i="97"/>
  <c r="X24" i="97" s="1"/>
  <c r="Y24" i="97" s="1"/>
  <c r="T23" i="97"/>
  <c r="X23" i="97" s="1"/>
  <c r="Y23" i="97" s="1"/>
  <c r="T22" i="97"/>
  <c r="X22" i="97" s="1"/>
  <c r="Y22" i="97" s="1"/>
  <c r="T21" i="97"/>
  <c r="X21" i="97" s="1"/>
  <c r="Y21" i="97" s="1"/>
  <c r="T20" i="97"/>
  <c r="X20" i="97" s="1"/>
  <c r="Y20" i="97" s="1"/>
  <c r="T19" i="97"/>
  <c r="X19" i="97" s="1"/>
  <c r="Y19" i="97" s="1"/>
  <c r="T18" i="97"/>
  <c r="X18" i="97" s="1"/>
  <c r="Y18" i="97" s="1"/>
  <c r="T17" i="97"/>
  <c r="X17" i="97" s="1"/>
  <c r="Y17" i="97" s="1"/>
  <c r="T16" i="97"/>
  <c r="X16" i="97" s="1"/>
  <c r="T15" i="97"/>
  <c r="X15" i="97" s="1"/>
  <c r="Y15" i="97" s="1"/>
  <c r="T14" i="97"/>
  <c r="X14" i="97" s="1"/>
  <c r="T13" i="97"/>
  <c r="X13" i="97" s="1"/>
  <c r="Y13" i="97" s="1"/>
  <c r="T12" i="97"/>
  <c r="X12" i="97" s="1"/>
  <c r="I7" i="97"/>
  <c r="T6" i="97"/>
  <c r="I6" i="97"/>
  <c r="J31" i="97" s="1"/>
  <c r="R2" i="97"/>
  <c r="Y106" i="96"/>
  <c r="T104" i="96"/>
  <c r="X103" i="96"/>
  <c r="T103" i="96"/>
  <c r="I103" i="96"/>
  <c r="T102" i="96"/>
  <c r="X102" i="96" s="1"/>
  <c r="I102" i="96"/>
  <c r="I104" i="96" s="1"/>
  <c r="J104" i="96" s="1"/>
  <c r="G102" i="96"/>
  <c r="G103" i="96" s="1"/>
  <c r="I98" i="96"/>
  <c r="E98" i="96"/>
  <c r="T97" i="96"/>
  <c r="I97" i="96"/>
  <c r="X96" i="96" s="1"/>
  <c r="E97" i="96"/>
  <c r="T96" i="96"/>
  <c r="T92" i="96"/>
  <c r="G92" i="96"/>
  <c r="V92" i="96" s="1"/>
  <c r="T91" i="96"/>
  <c r="G91" i="96"/>
  <c r="V91" i="96" s="1"/>
  <c r="T90" i="96"/>
  <c r="G90" i="96"/>
  <c r="V90" i="96" s="1"/>
  <c r="G87" i="96"/>
  <c r="V87" i="96" s="1"/>
  <c r="G86" i="96"/>
  <c r="V86" i="96" s="1"/>
  <c r="G85" i="96"/>
  <c r="V85" i="96" s="1"/>
  <c r="G84" i="96"/>
  <c r="V83" i="96" s="1"/>
  <c r="J82" i="96"/>
  <c r="Y81" i="96" s="1"/>
  <c r="X83" i="96" s="1"/>
  <c r="J81" i="96"/>
  <c r="Y80" i="96"/>
  <c r="G72" i="96"/>
  <c r="G71" i="96"/>
  <c r="V70" i="96" s="1"/>
  <c r="G70" i="96"/>
  <c r="G68" i="96"/>
  <c r="V67" i="96" s="1"/>
  <c r="I65" i="96"/>
  <c r="X64" i="96" s="1"/>
  <c r="I62" i="96"/>
  <c r="X61" i="96" s="1"/>
  <c r="I59" i="96"/>
  <c r="X58" i="96" s="1"/>
  <c r="I56" i="96"/>
  <c r="X55" i="96" s="1"/>
  <c r="I53" i="96"/>
  <c r="X52" i="96" s="1"/>
  <c r="T50" i="96"/>
  <c r="D50" i="96"/>
  <c r="E46" i="96" s="1"/>
  <c r="C50" i="96"/>
  <c r="I49" i="96"/>
  <c r="X49" i="96" s="1"/>
  <c r="Y49" i="96" s="1"/>
  <c r="I48" i="96"/>
  <c r="X48" i="96" s="1"/>
  <c r="Y48" i="96" s="1"/>
  <c r="I47" i="96"/>
  <c r="X47" i="96" s="1"/>
  <c r="Y47" i="96" s="1"/>
  <c r="I46" i="96"/>
  <c r="X46" i="96" s="1"/>
  <c r="Y46" i="96" s="1"/>
  <c r="I45" i="96"/>
  <c r="X45" i="96" s="1"/>
  <c r="Y45" i="96" s="1"/>
  <c r="I44" i="96"/>
  <c r="X44" i="96" s="1"/>
  <c r="Y44" i="96" s="1"/>
  <c r="I43" i="96"/>
  <c r="X43" i="96" s="1"/>
  <c r="Y43" i="96" s="1"/>
  <c r="I42" i="96"/>
  <c r="X42" i="96" s="1"/>
  <c r="Y42" i="96" s="1"/>
  <c r="I41" i="96"/>
  <c r="X41" i="96" s="1"/>
  <c r="Y41" i="96" s="1"/>
  <c r="Y50" i="96" s="1"/>
  <c r="Y37" i="96"/>
  <c r="J37" i="96"/>
  <c r="Y36" i="96"/>
  <c r="Y38" i="96" s="1"/>
  <c r="J36" i="96"/>
  <c r="V32" i="96"/>
  <c r="G32" i="96"/>
  <c r="T31" i="96"/>
  <c r="D28" i="96"/>
  <c r="E23" i="96" s="1"/>
  <c r="I23" i="96" s="1"/>
  <c r="J23" i="96" s="1"/>
  <c r="C28" i="96"/>
  <c r="T27" i="96"/>
  <c r="X27" i="96" s="1"/>
  <c r="T26" i="96"/>
  <c r="X26" i="96" s="1"/>
  <c r="Y26" i="96" s="1"/>
  <c r="T25" i="96"/>
  <c r="X25" i="96" s="1"/>
  <c r="Y25" i="96" s="1"/>
  <c r="T24" i="96"/>
  <c r="X24" i="96" s="1"/>
  <c r="Y24" i="96" s="1"/>
  <c r="E24" i="96"/>
  <c r="I24" i="96" s="1"/>
  <c r="J24" i="96" s="1"/>
  <c r="T23" i="96"/>
  <c r="X23" i="96" s="1"/>
  <c r="Y23" i="96" s="1"/>
  <c r="T22" i="96"/>
  <c r="X22" i="96" s="1"/>
  <c r="Y22" i="96" s="1"/>
  <c r="T21" i="96"/>
  <c r="X21" i="96" s="1"/>
  <c r="Y21" i="96" s="1"/>
  <c r="T20" i="96"/>
  <c r="X20" i="96" s="1"/>
  <c r="Y20" i="96" s="1"/>
  <c r="T19" i="96"/>
  <c r="X19" i="96" s="1"/>
  <c r="Y19" i="96" s="1"/>
  <c r="T18" i="96"/>
  <c r="X18" i="96" s="1"/>
  <c r="Y18" i="96" s="1"/>
  <c r="T17" i="96"/>
  <c r="X17" i="96" s="1"/>
  <c r="Y17" i="96" s="1"/>
  <c r="T16" i="96"/>
  <c r="X16" i="96" s="1"/>
  <c r="T15" i="96"/>
  <c r="X15" i="96" s="1"/>
  <c r="Y15" i="96" s="1"/>
  <c r="T14" i="96"/>
  <c r="X14" i="96" s="1"/>
  <c r="E14" i="96"/>
  <c r="I14" i="96" s="1"/>
  <c r="T13" i="96"/>
  <c r="T12" i="96"/>
  <c r="X12" i="96" s="1"/>
  <c r="I7" i="96"/>
  <c r="T6" i="96"/>
  <c r="I6" i="96"/>
  <c r="J31" i="96" s="1"/>
  <c r="R2" i="96"/>
  <c r="Y106" i="95"/>
  <c r="T104" i="95"/>
  <c r="T103" i="95"/>
  <c r="X103" i="95" s="1"/>
  <c r="I103" i="95"/>
  <c r="T102" i="95"/>
  <c r="V102" i="95" s="1"/>
  <c r="V103" i="95" s="1"/>
  <c r="I102" i="95"/>
  <c r="I104" i="95" s="1"/>
  <c r="J104" i="95" s="1"/>
  <c r="G102" i="95"/>
  <c r="G103" i="95" s="1"/>
  <c r="I98" i="95"/>
  <c r="X97" i="95" s="1"/>
  <c r="Y97" i="95" s="1"/>
  <c r="E98" i="95"/>
  <c r="T97" i="95"/>
  <c r="I97" i="95"/>
  <c r="X96" i="95" s="1"/>
  <c r="Y96" i="95" s="1"/>
  <c r="E97" i="95"/>
  <c r="T96" i="95"/>
  <c r="T92" i="95"/>
  <c r="G92" i="95"/>
  <c r="V92" i="95" s="1"/>
  <c r="T91" i="95"/>
  <c r="G91" i="95"/>
  <c r="V91" i="95" s="1"/>
  <c r="T90" i="95"/>
  <c r="G90" i="95"/>
  <c r="V90" i="95" s="1"/>
  <c r="G87" i="95"/>
  <c r="G86" i="95"/>
  <c r="V86" i="95" s="1"/>
  <c r="G85" i="95"/>
  <c r="G84" i="95"/>
  <c r="V83" i="95" s="1"/>
  <c r="J82" i="95"/>
  <c r="Y81" i="95" s="1"/>
  <c r="J81" i="95"/>
  <c r="Y80" i="95"/>
  <c r="G72" i="95"/>
  <c r="G71" i="95"/>
  <c r="G70" i="95"/>
  <c r="V69" i="95" s="1"/>
  <c r="G68" i="95"/>
  <c r="V67" i="95" s="1"/>
  <c r="I65" i="95"/>
  <c r="X64" i="95" s="1"/>
  <c r="I62" i="95"/>
  <c r="X61" i="95" s="1"/>
  <c r="I59" i="95"/>
  <c r="X58" i="95" s="1"/>
  <c r="I56" i="95"/>
  <c r="X55" i="95" s="1"/>
  <c r="I53" i="95"/>
  <c r="X52" i="95" s="1"/>
  <c r="T50" i="95"/>
  <c r="D50" i="95"/>
  <c r="E46" i="95" s="1"/>
  <c r="C50" i="95"/>
  <c r="I49" i="95"/>
  <c r="X49" i="95" s="1"/>
  <c r="Y49" i="95" s="1"/>
  <c r="I48" i="95"/>
  <c r="X48" i="95" s="1"/>
  <c r="Y48" i="95" s="1"/>
  <c r="I47" i="95"/>
  <c r="X47" i="95" s="1"/>
  <c r="Y47" i="95" s="1"/>
  <c r="E47" i="95"/>
  <c r="I46" i="95"/>
  <c r="X46" i="95" s="1"/>
  <c r="Y46" i="95" s="1"/>
  <c r="I45" i="95"/>
  <c r="X45" i="95" s="1"/>
  <c r="Y45" i="95" s="1"/>
  <c r="I44" i="95"/>
  <c r="X44" i="95" s="1"/>
  <c r="Y44" i="95" s="1"/>
  <c r="I43" i="95"/>
  <c r="X43" i="95" s="1"/>
  <c r="Y43" i="95" s="1"/>
  <c r="I42" i="95"/>
  <c r="X42" i="95" s="1"/>
  <c r="Y42" i="95" s="1"/>
  <c r="I41" i="95"/>
  <c r="X41" i="95" s="1"/>
  <c r="Y41" i="95" s="1"/>
  <c r="Y37" i="95"/>
  <c r="J37" i="95"/>
  <c r="Y36" i="95"/>
  <c r="Y38" i="95" s="1"/>
  <c r="J36" i="95"/>
  <c r="J38" i="95" s="1"/>
  <c r="G32" i="95"/>
  <c r="T31" i="95"/>
  <c r="V32" i="95" s="1"/>
  <c r="D28" i="95"/>
  <c r="E23" i="95" s="1"/>
  <c r="I23" i="95" s="1"/>
  <c r="C28" i="95"/>
  <c r="T27" i="95"/>
  <c r="X27" i="95" s="1"/>
  <c r="E27" i="95"/>
  <c r="I27" i="95" s="1"/>
  <c r="T26" i="95"/>
  <c r="X26" i="95" s="1"/>
  <c r="T25" i="95"/>
  <c r="X25" i="95" s="1"/>
  <c r="T24" i="95"/>
  <c r="X24" i="95" s="1"/>
  <c r="E24" i="95"/>
  <c r="I24" i="95" s="1"/>
  <c r="J24" i="95" s="1"/>
  <c r="T23" i="95"/>
  <c r="X23" i="95" s="1"/>
  <c r="Y23" i="95" s="1"/>
  <c r="T22" i="95"/>
  <c r="X22" i="95" s="1"/>
  <c r="Y22" i="95" s="1"/>
  <c r="T21" i="95"/>
  <c r="X21" i="95" s="1"/>
  <c r="Y21" i="95" s="1"/>
  <c r="T20" i="95"/>
  <c r="X20" i="95" s="1"/>
  <c r="Y20" i="95" s="1"/>
  <c r="E20" i="95"/>
  <c r="I20" i="95" s="1"/>
  <c r="T19" i="95"/>
  <c r="X19" i="95" s="1"/>
  <c r="T18" i="95"/>
  <c r="X18" i="95" s="1"/>
  <c r="T17" i="95"/>
  <c r="X17" i="95" s="1"/>
  <c r="T16" i="95"/>
  <c r="X16" i="95" s="1"/>
  <c r="T15" i="95"/>
  <c r="X15" i="95" s="1"/>
  <c r="T14" i="95"/>
  <c r="X14" i="95" s="1"/>
  <c r="E14" i="95"/>
  <c r="I14" i="95" s="1"/>
  <c r="T13" i="95"/>
  <c r="T12" i="95"/>
  <c r="X12" i="95" s="1"/>
  <c r="I7" i="95"/>
  <c r="T6" i="95"/>
  <c r="I6" i="95"/>
  <c r="J31" i="95" s="1"/>
  <c r="R2" i="95"/>
  <c r="Y106" i="94"/>
  <c r="T104" i="94"/>
  <c r="I104" i="94"/>
  <c r="J104" i="94" s="1"/>
  <c r="T103" i="94"/>
  <c r="X103" i="94" s="1"/>
  <c r="I103" i="94"/>
  <c r="T102" i="94"/>
  <c r="X102" i="94" s="1"/>
  <c r="I102" i="94"/>
  <c r="G102" i="94"/>
  <c r="G103" i="94" s="1"/>
  <c r="I98" i="94"/>
  <c r="E98" i="94"/>
  <c r="X97" i="94"/>
  <c r="T97" i="94"/>
  <c r="I97" i="94"/>
  <c r="X96" i="94" s="1"/>
  <c r="E97" i="94"/>
  <c r="T96" i="94"/>
  <c r="T92" i="94"/>
  <c r="G92" i="94"/>
  <c r="V92" i="94" s="1"/>
  <c r="D92" i="94"/>
  <c r="T91" i="94"/>
  <c r="G91" i="94"/>
  <c r="V91" i="94" s="1"/>
  <c r="T90" i="94"/>
  <c r="G90" i="94"/>
  <c r="V90" i="94" s="1"/>
  <c r="G87" i="94"/>
  <c r="G86" i="94"/>
  <c r="V86" i="94" s="1"/>
  <c r="G85" i="94"/>
  <c r="G84" i="94"/>
  <c r="V83" i="94" s="1"/>
  <c r="J82" i="94"/>
  <c r="Y81" i="94" s="1"/>
  <c r="J81" i="94"/>
  <c r="Y80" i="94"/>
  <c r="G72" i="94"/>
  <c r="V71" i="94" s="1"/>
  <c r="G71" i="94"/>
  <c r="V70" i="94" s="1"/>
  <c r="G70" i="94"/>
  <c r="G68" i="94"/>
  <c r="V67" i="94" s="1"/>
  <c r="I65" i="94"/>
  <c r="X64" i="94" s="1"/>
  <c r="I62" i="94"/>
  <c r="X61" i="94" s="1"/>
  <c r="I59" i="94"/>
  <c r="X58" i="94" s="1"/>
  <c r="I56" i="94"/>
  <c r="X55" i="94" s="1"/>
  <c r="I53" i="94"/>
  <c r="X52" i="94" s="1"/>
  <c r="T50" i="94"/>
  <c r="D50" i="94"/>
  <c r="E46" i="94" s="1"/>
  <c r="C50" i="94"/>
  <c r="I49" i="94"/>
  <c r="X49" i="94" s="1"/>
  <c r="Y49" i="94" s="1"/>
  <c r="I48" i="94"/>
  <c r="X48" i="94" s="1"/>
  <c r="Y48" i="94" s="1"/>
  <c r="I47" i="94"/>
  <c r="X47" i="94" s="1"/>
  <c r="Y47" i="94" s="1"/>
  <c r="I46" i="94"/>
  <c r="X46" i="94" s="1"/>
  <c r="Y46" i="94" s="1"/>
  <c r="I45" i="94"/>
  <c r="X45" i="94" s="1"/>
  <c r="Y45" i="94" s="1"/>
  <c r="I44" i="94"/>
  <c r="X44" i="94" s="1"/>
  <c r="Y44" i="94" s="1"/>
  <c r="I43" i="94"/>
  <c r="X43" i="94" s="1"/>
  <c r="Y43" i="94" s="1"/>
  <c r="I42" i="94"/>
  <c r="X42" i="94" s="1"/>
  <c r="Y42" i="94" s="1"/>
  <c r="I41" i="94"/>
  <c r="X41" i="94" s="1"/>
  <c r="Y41" i="94" s="1"/>
  <c r="Y50" i="94" s="1"/>
  <c r="Y37" i="94"/>
  <c r="J37" i="94"/>
  <c r="Y36" i="94"/>
  <c r="Y38" i="94" s="1"/>
  <c r="J36" i="94"/>
  <c r="V32" i="94"/>
  <c r="G32" i="94"/>
  <c r="T31" i="94"/>
  <c r="D28" i="94"/>
  <c r="E23" i="94" s="1"/>
  <c r="I23" i="94" s="1"/>
  <c r="C28" i="94"/>
  <c r="T27" i="94"/>
  <c r="X27" i="94" s="1"/>
  <c r="E27" i="94"/>
  <c r="I27" i="94" s="1"/>
  <c r="T26" i="94"/>
  <c r="X26" i="94" s="1"/>
  <c r="T25" i="94"/>
  <c r="X25" i="94" s="1"/>
  <c r="T24" i="94"/>
  <c r="X24" i="94" s="1"/>
  <c r="E24" i="94"/>
  <c r="I24" i="94" s="1"/>
  <c r="J24" i="94" s="1"/>
  <c r="T23" i="94"/>
  <c r="X23" i="94" s="1"/>
  <c r="Y23" i="94" s="1"/>
  <c r="T22" i="94"/>
  <c r="X22" i="94" s="1"/>
  <c r="Y22" i="94" s="1"/>
  <c r="T21" i="94"/>
  <c r="X21" i="94" s="1"/>
  <c r="Y21" i="94" s="1"/>
  <c r="E21" i="94"/>
  <c r="I21" i="94" s="1"/>
  <c r="J21" i="94" s="1"/>
  <c r="T20" i="94"/>
  <c r="X20" i="94" s="1"/>
  <c r="Y20" i="94" s="1"/>
  <c r="E20" i="94"/>
  <c r="I20" i="94" s="1"/>
  <c r="J20" i="94" s="1"/>
  <c r="T19" i="94"/>
  <c r="X19" i="94" s="1"/>
  <c r="Y19" i="94" s="1"/>
  <c r="T18" i="94"/>
  <c r="X18" i="94" s="1"/>
  <c r="Y18" i="94" s="1"/>
  <c r="E18" i="94"/>
  <c r="I18" i="94" s="1"/>
  <c r="J18" i="94" s="1"/>
  <c r="T17" i="94"/>
  <c r="X17" i="94" s="1"/>
  <c r="Y17" i="94" s="1"/>
  <c r="T16" i="94"/>
  <c r="X16" i="94" s="1"/>
  <c r="T15" i="94"/>
  <c r="X15" i="94" s="1"/>
  <c r="T14" i="94"/>
  <c r="X14" i="94" s="1"/>
  <c r="T13" i="94"/>
  <c r="T12" i="94"/>
  <c r="X12" i="94" s="1"/>
  <c r="I7" i="94"/>
  <c r="T6" i="94"/>
  <c r="I6" i="94"/>
  <c r="J31" i="94" s="1"/>
  <c r="R2" i="94"/>
  <c r="Y106" i="93"/>
  <c r="T104" i="93"/>
  <c r="T103" i="93"/>
  <c r="X103" i="93" s="1"/>
  <c r="I103" i="93"/>
  <c r="T102" i="93"/>
  <c r="X102" i="93" s="1"/>
  <c r="I102" i="93"/>
  <c r="G102" i="93"/>
  <c r="G103" i="93" s="1"/>
  <c r="I98" i="93"/>
  <c r="X97" i="93" s="1"/>
  <c r="Y97" i="93" s="1"/>
  <c r="E98" i="93"/>
  <c r="T97" i="93"/>
  <c r="I97" i="93"/>
  <c r="X96" i="93" s="1"/>
  <c r="Y96" i="93" s="1"/>
  <c r="E97" i="93"/>
  <c r="T96" i="93"/>
  <c r="T92" i="93"/>
  <c r="G92" i="93"/>
  <c r="V92" i="93" s="1"/>
  <c r="T91" i="93"/>
  <c r="G91" i="93"/>
  <c r="V91" i="93" s="1"/>
  <c r="T90" i="93"/>
  <c r="G90" i="93"/>
  <c r="V90" i="93" s="1"/>
  <c r="G87" i="93"/>
  <c r="G86" i="93"/>
  <c r="V86" i="93" s="1"/>
  <c r="G85" i="93"/>
  <c r="G84" i="93"/>
  <c r="V83" i="93" s="1"/>
  <c r="J82" i="93"/>
  <c r="Y81" i="93" s="1"/>
  <c r="X83" i="93" s="1"/>
  <c r="J81" i="93"/>
  <c r="Y80" i="93"/>
  <c r="G72" i="93"/>
  <c r="G71" i="93"/>
  <c r="G70" i="93"/>
  <c r="V69" i="93" s="1"/>
  <c r="G68" i="93"/>
  <c r="V67" i="93" s="1"/>
  <c r="I65" i="93"/>
  <c r="X64" i="93" s="1"/>
  <c r="I62" i="93"/>
  <c r="X61" i="93" s="1"/>
  <c r="I59" i="93"/>
  <c r="X58" i="93" s="1"/>
  <c r="I56" i="93"/>
  <c r="X55" i="93" s="1"/>
  <c r="I53" i="93"/>
  <c r="X52" i="93" s="1"/>
  <c r="T50" i="93"/>
  <c r="D50" i="93"/>
  <c r="E46" i="93" s="1"/>
  <c r="C50" i="93"/>
  <c r="I49" i="93"/>
  <c r="X49" i="93" s="1"/>
  <c r="Y49" i="93" s="1"/>
  <c r="I48" i="93"/>
  <c r="X48" i="93" s="1"/>
  <c r="Y48" i="93" s="1"/>
  <c r="I47" i="93"/>
  <c r="X47" i="93" s="1"/>
  <c r="Y47" i="93" s="1"/>
  <c r="I46" i="93"/>
  <c r="X46" i="93" s="1"/>
  <c r="Y46" i="93" s="1"/>
  <c r="I45" i="93"/>
  <c r="X45" i="93" s="1"/>
  <c r="Y45" i="93" s="1"/>
  <c r="I44" i="93"/>
  <c r="X44" i="93" s="1"/>
  <c r="Y44" i="93" s="1"/>
  <c r="I43" i="93"/>
  <c r="X43" i="93" s="1"/>
  <c r="Y43" i="93" s="1"/>
  <c r="E43" i="93"/>
  <c r="J43" i="93" s="1"/>
  <c r="I42" i="93"/>
  <c r="X42" i="93" s="1"/>
  <c r="Y42" i="93" s="1"/>
  <c r="I41" i="93"/>
  <c r="X41" i="93" s="1"/>
  <c r="Y41" i="93" s="1"/>
  <c r="Y37" i="93"/>
  <c r="J37" i="93"/>
  <c r="Y36" i="93"/>
  <c r="Y38" i="93" s="1"/>
  <c r="J36" i="93"/>
  <c r="J38" i="93" s="1"/>
  <c r="G32" i="93"/>
  <c r="T31" i="93"/>
  <c r="V32" i="93" s="1"/>
  <c r="D28" i="93"/>
  <c r="E23" i="93" s="1"/>
  <c r="I23" i="93" s="1"/>
  <c r="C28" i="93"/>
  <c r="T27" i="93"/>
  <c r="X27" i="93" s="1"/>
  <c r="E27" i="93"/>
  <c r="I27" i="93" s="1"/>
  <c r="T26" i="93"/>
  <c r="X26" i="93" s="1"/>
  <c r="T25" i="93"/>
  <c r="X25" i="93" s="1"/>
  <c r="T24" i="93"/>
  <c r="X24" i="93" s="1"/>
  <c r="Y24" i="93" s="1"/>
  <c r="E24" i="93"/>
  <c r="I24" i="93" s="1"/>
  <c r="J24" i="93" s="1"/>
  <c r="T23" i="93"/>
  <c r="X23" i="93" s="1"/>
  <c r="T22" i="93"/>
  <c r="X22" i="93" s="1"/>
  <c r="T21" i="93"/>
  <c r="X21" i="93" s="1"/>
  <c r="T20" i="93"/>
  <c r="X20" i="93" s="1"/>
  <c r="E20" i="93"/>
  <c r="I20" i="93" s="1"/>
  <c r="T19" i="93"/>
  <c r="X19" i="93" s="1"/>
  <c r="T18" i="93"/>
  <c r="X18" i="93" s="1"/>
  <c r="T17" i="93"/>
  <c r="X17" i="93" s="1"/>
  <c r="T16" i="93"/>
  <c r="X16" i="93" s="1"/>
  <c r="T15" i="93"/>
  <c r="X15" i="93" s="1"/>
  <c r="T14" i="93"/>
  <c r="X14" i="93" s="1"/>
  <c r="E14" i="93"/>
  <c r="I14" i="93" s="1"/>
  <c r="T13" i="93"/>
  <c r="X13" i="93" s="1"/>
  <c r="T12" i="93"/>
  <c r="X12" i="93" s="1"/>
  <c r="I7" i="93"/>
  <c r="T6" i="93"/>
  <c r="I6" i="93"/>
  <c r="J31" i="93" s="1"/>
  <c r="R2" i="93"/>
  <c r="Y106" i="92"/>
  <c r="T104" i="92"/>
  <c r="T103" i="92"/>
  <c r="X103" i="92" s="1"/>
  <c r="I103" i="92"/>
  <c r="T102" i="92"/>
  <c r="V102" i="92" s="1"/>
  <c r="V103" i="92" s="1"/>
  <c r="I102" i="92"/>
  <c r="G102" i="92"/>
  <c r="G103" i="92" s="1"/>
  <c r="J103" i="92" s="1"/>
  <c r="I98" i="92"/>
  <c r="J98" i="92" s="1"/>
  <c r="E98" i="92"/>
  <c r="T97" i="92"/>
  <c r="I97" i="92"/>
  <c r="X96" i="92" s="1"/>
  <c r="E97" i="92"/>
  <c r="T96" i="92"/>
  <c r="T92" i="92"/>
  <c r="G92" i="92"/>
  <c r="V92" i="92" s="1"/>
  <c r="T91" i="92"/>
  <c r="G91" i="92"/>
  <c r="V91" i="92" s="1"/>
  <c r="T90" i="92"/>
  <c r="G90" i="92"/>
  <c r="V90" i="92" s="1"/>
  <c r="G87" i="92"/>
  <c r="V87" i="92" s="1"/>
  <c r="G86" i="92"/>
  <c r="V86" i="92" s="1"/>
  <c r="G85" i="92"/>
  <c r="G84" i="92"/>
  <c r="J82" i="92"/>
  <c r="Y81" i="92" s="1"/>
  <c r="X83" i="92" s="1"/>
  <c r="J81" i="92"/>
  <c r="Y80" i="92"/>
  <c r="G72" i="92"/>
  <c r="G71" i="92"/>
  <c r="G70" i="92"/>
  <c r="V69" i="92" s="1"/>
  <c r="G68" i="92"/>
  <c r="V67" i="92" s="1"/>
  <c r="I65" i="92"/>
  <c r="X64" i="92" s="1"/>
  <c r="I62" i="92"/>
  <c r="X61" i="92" s="1"/>
  <c r="I59" i="92"/>
  <c r="X58" i="92" s="1"/>
  <c r="I56" i="92"/>
  <c r="X55" i="92" s="1"/>
  <c r="I53" i="92"/>
  <c r="X52" i="92" s="1"/>
  <c r="T50" i="92"/>
  <c r="D50" i="92"/>
  <c r="E46" i="92" s="1"/>
  <c r="C50" i="92"/>
  <c r="I49" i="92"/>
  <c r="X49" i="92" s="1"/>
  <c r="Y49" i="92" s="1"/>
  <c r="I48" i="92"/>
  <c r="X48" i="92" s="1"/>
  <c r="Y48" i="92" s="1"/>
  <c r="I47" i="92"/>
  <c r="X47" i="92" s="1"/>
  <c r="Y47" i="92" s="1"/>
  <c r="I46" i="92"/>
  <c r="X46" i="92" s="1"/>
  <c r="Y46" i="92" s="1"/>
  <c r="I45" i="92"/>
  <c r="X45" i="92" s="1"/>
  <c r="Y45" i="92" s="1"/>
  <c r="I44" i="92"/>
  <c r="X44" i="92" s="1"/>
  <c r="Y44" i="92" s="1"/>
  <c r="I43" i="92"/>
  <c r="X43" i="92" s="1"/>
  <c r="Y43" i="92" s="1"/>
  <c r="I42" i="92"/>
  <c r="X42" i="92" s="1"/>
  <c r="Y42" i="92" s="1"/>
  <c r="I41" i="92"/>
  <c r="X41" i="92" s="1"/>
  <c r="Y41" i="92" s="1"/>
  <c r="Y37" i="92"/>
  <c r="J37" i="92"/>
  <c r="Y36" i="92"/>
  <c r="Y38" i="92" s="1"/>
  <c r="J36" i="92"/>
  <c r="J38" i="92" s="1"/>
  <c r="G32" i="92"/>
  <c r="T31" i="92"/>
  <c r="V32" i="92" s="1"/>
  <c r="D28" i="92"/>
  <c r="E23" i="92" s="1"/>
  <c r="I23" i="92" s="1"/>
  <c r="C28" i="92"/>
  <c r="T27" i="92"/>
  <c r="X27" i="92" s="1"/>
  <c r="T26" i="92"/>
  <c r="X26" i="92" s="1"/>
  <c r="T25" i="92"/>
  <c r="X25" i="92" s="1"/>
  <c r="T24" i="92"/>
  <c r="X24" i="92" s="1"/>
  <c r="T23" i="92"/>
  <c r="X23" i="92" s="1"/>
  <c r="T22" i="92"/>
  <c r="X22" i="92" s="1"/>
  <c r="T21" i="92"/>
  <c r="X21" i="92" s="1"/>
  <c r="T20" i="92"/>
  <c r="X20" i="92" s="1"/>
  <c r="T19" i="92"/>
  <c r="X19" i="92" s="1"/>
  <c r="T18" i="92"/>
  <c r="X18" i="92" s="1"/>
  <c r="T17" i="92"/>
  <c r="X17" i="92" s="1"/>
  <c r="T16" i="92"/>
  <c r="X16" i="92" s="1"/>
  <c r="T15" i="92"/>
  <c r="X15" i="92" s="1"/>
  <c r="T14" i="92"/>
  <c r="X14" i="92" s="1"/>
  <c r="T13" i="92"/>
  <c r="T12" i="92"/>
  <c r="X12" i="92" s="1"/>
  <c r="I7" i="92"/>
  <c r="T6" i="92"/>
  <c r="I6" i="92"/>
  <c r="J31" i="92" s="1"/>
  <c r="R2" i="92"/>
  <c r="Y106" i="91"/>
  <c r="T104" i="91"/>
  <c r="I104" i="91"/>
  <c r="J104" i="91" s="1"/>
  <c r="T103" i="91"/>
  <c r="X103" i="91" s="1"/>
  <c r="Y103" i="91" s="1"/>
  <c r="I103" i="91"/>
  <c r="T102" i="91"/>
  <c r="V102" i="91" s="1"/>
  <c r="V103" i="91" s="1"/>
  <c r="I102" i="91"/>
  <c r="G102" i="91"/>
  <c r="G103" i="91" s="1"/>
  <c r="I98" i="91"/>
  <c r="E98" i="91"/>
  <c r="T97" i="91"/>
  <c r="I97" i="91"/>
  <c r="X96" i="91" s="1"/>
  <c r="E97" i="91"/>
  <c r="T96" i="91"/>
  <c r="T92" i="91"/>
  <c r="G92" i="91"/>
  <c r="V92" i="91" s="1"/>
  <c r="D92" i="91"/>
  <c r="V91" i="91"/>
  <c r="T91" i="91"/>
  <c r="G91" i="91"/>
  <c r="T90" i="91"/>
  <c r="G90" i="91"/>
  <c r="V90" i="91" s="1"/>
  <c r="G87" i="91"/>
  <c r="V87" i="91" s="1"/>
  <c r="G86" i="91"/>
  <c r="V86" i="91" s="1"/>
  <c r="G85" i="91"/>
  <c r="G84" i="91"/>
  <c r="V83" i="91"/>
  <c r="J82" i="91"/>
  <c r="Y81" i="91" s="1"/>
  <c r="J81" i="91"/>
  <c r="I84" i="91" s="1"/>
  <c r="Y80" i="91"/>
  <c r="X83" i="91" s="1"/>
  <c r="G72" i="91"/>
  <c r="G71" i="91"/>
  <c r="G70" i="91"/>
  <c r="V69" i="91" s="1"/>
  <c r="G68" i="91"/>
  <c r="V67" i="91" s="1"/>
  <c r="I65" i="91"/>
  <c r="X64" i="91" s="1"/>
  <c r="I62" i="91"/>
  <c r="X61" i="91" s="1"/>
  <c r="I59" i="91"/>
  <c r="X58" i="91" s="1"/>
  <c r="I56" i="91"/>
  <c r="X55" i="91" s="1"/>
  <c r="I53" i="91"/>
  <c r="X52" i="91" s="1"/>
  <c r="T50" i="91"/>
  <c r="D50" i="91"/>
  <c r="E49" i="91" s="1"/>
  <c r="C50" i="91"/>
  <c r="I49" i="91"/>
  <c r="X49" i="91" s="1"/>
  <c r="Y49" i="91" s="1"/>
  <c r="I48" i="91"/>
  <c r="X48" i="91" s="1"/>
  <c r="Y48" i="91" s="1"/>
  <c r="I47" i="91"/>
  <c r="X47" i="91" s="1"/>
  <c r="Y47" i="91" s="1"/>
  <c r="E47" i="91"/>
  <c r="I46" i="91"/>
  <c r="X46" i="91" s="1"/>
  <c r="Y46" i="91" s="1"/>
  <c r="I45" i="91"/>
  <c r="X45" i="91" s="1"/>
  <c r="Y45" i="91" s="1"/>
  <c r="I44" i="91"/>
  <c r="X44" i="91" s="1"/>
  <c r="Y44" i="91" s="1"/>
  <c r="I43" i="91"/>
  <c r="X43" i="91" s="1"/>
  <c r="Y43" i="91" s="1"/>
  <c r="I42" i="91"/>
  <c r="X42" i="91" s="1"/>
  <c r="Y42" i="91" s="1"/>
  <c r="E42" i="91"/>
  <c r="I41" i="91"/>
  <c r="X41" i="91" s="1"/>
  <c r="Y41" i="91" s="1"/>
  <c r="Y50" i="91" s="1"/>
  <c r="Y37" i="91"/>
  <c r="J37" i="91"/>
  <c r="Y36" i="91"/>
  <c r="Y38" i="91" s="1"/>
  <c r="J36" i="91"/>
  <c r="J38" i="91" s="1"/>
  <c r="V32" i="91"/>
  <c r="G32" i="91"/>
  <c r="T31" i="91"/>
  <c r="D28" i="91"/>
  <c r="E26" i="91" s="1"/>
  <c r="I26" i="91" s="1"/>
  <c r="C28" i="91"/>
  <c r="T27" i="91"/>
  <c r="X27" i="91" s="1"/>
  <c r="E27" i="91"/>
  <c r="I27" i="91" s="1"/>
  <c r="T26" i="91"/>
  <c r="X26" i="91" s="1"/>
  <c r="Y26" i="91" s="1"/>
  <c r="T25" i="91"/>
  <c r="X25" i="91" s="1"/>
  <c r="T24" i="91"/>
  <c r="X24" i="91" s="1"/>
  <c r="Y24" i="91" s="1"/>
  <c r="T23" i="91"/>
  <c r="X23" i="91" s="1"/>
  <c r="Y23" i="91" s="1"/>
  <c r="T22" i="91"/>
  <c r="X22" i="91" s="1"/>
  <c r="Y22" i="91" s="1"/>
  <c r="T21" i="91"/>
  <c r="X21" i="91" s="1"/>
  <c r="Y21" i="91" s="1"/>
  <c r="T20" i="91"/>
  <c r="X20" i="91" s="1"/>
  <c r="Y20" i="91" s="1"/>
  <c r="E20" i="91"/>
  <c r="I20" i="91" s="1"/>
  <c r="J20" i="91" s="1"/>
  <c r="T19" i="91"/>
  <c r="X19" i="91" s="1"/>
  <c r="Y19" i="91" s="1"/>
  <c r="T18" i="91"/>
  <c r="X18" i="91" s="1"/>
  <c r="Y18" i="91" s="1"/>
  <c r="T17" i="91"/>
  <c r="X17" i="91" s="1"/>
  <c r="Y17" i="91" s="1"/>
  <c r="T16" i="91"/>
  <c r="X16" i="91" s="1"/>
  <c r="T15" i="91"/>
  <c r="X15" i="91" s="1"/>
  <c r="Y15" i="91" s="1"/>
  <c r="T14" i="91"/>
  <c r="X14" i="91" s="1"/>
  <c r="E14" i="91"/>
  <c r="I14" i="91" s="1"/>
  <c r="T13" i="91"/>
  <c r="T12" i="91"/>
  <c r="X12" i="91" s="1"/>
  <c r="I7" i="91"/>
  <c r="T6" i="91"/>
  <c r="I6" i="91"/>
  <c r="J31" i="91" s="1"/>
  <c r="R2" i="91"/>
  <c r="Y106" i="90"/>
  <c r="T104" i="90"/>
  <c r="T103" i="90"/>
  <c r="X103" i="90" s="1"/>
  <c r="I103" i="90"/>
  <c r="T102" i="90"/>
  <c r="V102" i="90" s="1"/>
  <c r="V103" i="90" s="1"/>
  <c r="I102" i="90"/>
  <c r="I104" i="90" s="1"/>
  <c r="J104" i="90" s="1"/>
  <c r="G102" i="90"/>
  <c r="G103" i="90" s="1"/>
  <c r="I98" i="90"/>
  <c r="J98" i="90" s="1"/>
  <c r="E98" i="90"/>
  <c r="X97" i="90"/>
  <c r="Y97" i="90" s="1"/>
  <c r="T97" i="90"/>
  <c r="I97" i="90"/>
  <c r="X96" i="90" s="1"/>
  <c r="E97" i="90"/>
  <c r="T96" i="90"/>
  <c r="T92" i="90"/>
  <c r="G92" i="90"/>
  <c r="V92" i="90" s="1"/>
  <c r="T91" i="90"/>
  <c r="G91" i="90"/>
  <c r="V91" i="90" s="1"/>
  <c r="T90" i="90"/>
  <c r="G90" i="90"/>
  <c r="V90" i="90" s="1"/>
  <c r="G87" i="90"/>
  <c r="V87" i="90" s="1"/>
  <c r="G86" i="90"/>
  <c r="V86" i="90" s="1"/>
  <c r="G85" i="90"/>
  <c r="V85" i="90" s="1"/>
  <c r="G84" i="90"/>
  <c r="V83" i="90" s="1"/>
  <c r="J82" i="90"/>
  <c r="Y81" i="90" s="1"/>
  <c r="X83" i="90" s="1"/>
  <c r="J81" i="90"/>
  <c r="I84" i="90" s="1"/>
  <c r="Y80" i="90"/>
  <c r="G72" i="90"/>
  <c r="V71" i="90" s="1"/>
  <c r="G71" i="90"/>
  <c r="V70" i="90"/>
  <c r="G70" i="90"/>
  <c r="V69" i="90" s="1"/>
  <c r="G68" i="90"/>
  <c r="V67" i="90" s="1"/>
  <c r="I65" i="90"/>
  <c r="X64" i="90" s="1"/>
  <c r="I62" i="90"/>
  <c r="X61" i="90"/>
  <c r="I59" i="90"/>
  <c r="X58" i="90" s="1"/>
  <c r="I56" i="90"/>
  <c r="X55" i="90" s="1"/>
  <c r="I53" i="90"/>
  <c r="X52" i="90" s="1"/>
  <c r="T50" i="90"/>
  <c r="D50" i="90"/>
  <c r="E46" i="90" s="1"/>
  <c r="J46" i="90" s="1"/>
  <c r="C50" i="90"/>
  <c r="I49" i="90"/>
  <c r="X49" i="90" s="1"/>
  <c r="Y49" i="90" s="1"/>
  <c r="I48" i="90"/>
  <c r="X48" i="90" s="1"/>
  <c r="Y48" i="90" s="1"/>
  <c r="I47" i="90"/>
  <c r="X47" i="90" s="1"/>
  <c r="Y47" i="90" s="1"/>
  <c r="I46" i="90"/>
  <c r="X46" i="90" s="1"/>
  <c r="Y46" i="90" s="1"/>
  <c r="I45" i="90"/>
  <c r="X45" i="90" s="1"/>
  <c r="Y45" i="90" s="1"/>
  <c r="I44" i="90"/>
  <c r="X44" i="90" s="1"/>
  <c r="Y44" i="90" s="1"/>
  <c r="I43" i="90"/>
  <c r="X43" i="90" s="1"/>
  <c r="Y43" i="90" s="1"/>
  <c r="I42" i="90"/>
  <c r="X42" i="90" s="1"/>
  <c r="Y42" i="90" s="1"/>
  <c r="I41" i="90"/>
  <c r="X41" i="90" s="1"/>
  <c r="Y41" i="90" s="1"/>
  <c r="Y37" i="90"/>
  <c r="J37" i="90"/>
  <c r="Y36" i="90"/>
  <c r="Y38" i="90" s="1"/>
  <c r="J36" i="90"/>
  <c r="G32" i="90"/>
  <c r="T31" i="90"/>
  <c r="V32" i="90" s="1"/>
  <c r="D28" i="90"/>
  <c r="E23" i="90" s="1"/>
  <c r="I23" i="90" s="1"/>
  <c r="C28" i="90"/>
  <c r="T27" i="90"/>
  <c r="X27" i="90" s="1"/>
  <c r="E27" i="90"/>
  <c r="I27" i="90" s="1"/>
  <c r="T26" i="90"/>
  <c r="X26" i="90" s="1"/>
  <c r="Y26" i="90" s="1"/>
  <c r="T25" i="90"/>
  <c r="X25" i="90" s="1"/>
  <c r="T24" i="90"/>
  <c r="X24" i="90" s="1"/>
  <c r="T23" i="90"/>
  <c r="X23" i="90" s="1"/>
  <c r="T22" i="90"/>
  <c r="X22" i="90" s="1"/>
  <c r="T21" i="90"/>
  <c r="X21" i="90" s="1"/>
  <c r="T20" i="90"/>
  <c r="X20" i="90" s="1"/>
  <c r="T19" i="90"/>
  <c r="X19" i="90" s="1"/>
  <c r="T18" i="90"/>
  <c r="X18" i="90" s="1"/>
  <c r="T17" i="90"/>
  <c r="X17" i="90" s="1"/>
  <c r="T16" i="90"/>
  <c r="X16" i="90" s="1"/>
  <c r="T15" i="90"/>
  <c r="X15" i="90" s="1"/>
  <c r="T14" i="90"/>
  <c r="X14" i="90" s="1"/>
  <c r="T13" i="90"/>
  <c r="X13" i="90" s="1"/>
  <c r="T12" i="90"/>
  <c r="X12" i="90" s="1"/>
  <c r="I7" i="90"/>
  <c r="T6" i="90"/>
  <c r="I6" i="90"/>
  <c r="J31" i="90" s="1"/>
  <c r="R2" i="90"/>
  <c r="Y106" i="89"/>
  <c r="T104" i="89"/>
  <c r="T103" i="89"/>
  <c r="X103" i="89" s="1"/>
  <c r="I103" i="89"/>
  <c r="T102" i="89"/>
  <c r="V102" i="89" s="1"/>
  <c r="V103" i="89" s="1"/>
  <c r="I102" i="89"/>
  <c r="I104" i="89" s="1"/>
  <c r="J104" i="89" s="1"/>
  <c r="G102" i="89"/>
  <c r="G103" i="89" s="1"/>
  <c r="I98" i="89"/>
  <c r="E98" i="89"/>
  <c r="X97" i="89"/>
  <c r="T97" i="89"/>
  <c r="I97" i="89"/>
  <c r="X96" i="89" s="1"/>
  <c r="E97" i="89"/>
  <c r="T96" i="89"/>
  <c r="T92" i="89"/>
  <c r="G92" i="89"/>
  <c r="V92" i="89" s="1"/>
  <c r="T91" i="89"/>
  <c r="G91" i="89"/>
  <c r="V91" i="89" s="1"/>
  <c r="T90" i="89"/>
  <c r="G90" i="89"/>
  <c r="V90" i="89" s="1"/>
  <c r="G87" i="89"/>
  <c r="V87" i="89" s="1"/>
  <c r="G86" i="89"/>
  <c r="V86" i="89" s="1"/>
  <c r="G85" i="89"/>
  <c r="G84" i="89"/>
  <c r="V83" i="89" s="1"/>
  <c r="J82" i="89"/>
  <c r="Y80" i="89"/>
  <c r="G72" i="89"/>
  <c r="G71" i="89"/>
  <c r="V70" i="89" s="1"/>
  <c r="G70" i="89"/>
  <c r="G68" i="89"/>
  <c r="V67" i="89" s="1"/>
  <c r="I65" i="89"/>
  <c r="X64" i="89" s="1"/>
  <c r="I62" i="89"/>
  <c r="X61" i="89" s="1"/>
  <c r="I59" i="89"/>
  <c r="X58" i="89" s="1"/>
  <c r="I56" i="89"/>
  <c r="X55" i="89" s="1"/>
  <c r="I53" i="89"/>
  <c r="X52" i="89" s="1"/>
  <c r="T50" i="89"/>
  <c r="D50" i="89"/>
  <c r="E46" i="89" s="1"/>
  <c r="C50" i="89"/>
  <c r="I49" i="89"/>
  <c r="X49" i="89" s="1"/>
  <c r="Y49" i="89" s="1"/>
  <c r="I48" i="89"/>
  <c r="X48" i="89" s="1"/>
  <c r="Y48" i="89" s="1"/>
  <c r="I47" i="89"/>
  <c r="X47" i="89" s="1"/>
  <c r="Y47" i="89" s="1"/>
  <c r="E47" i="89"/>
  <c r="J47" i="89" s="1"/>
  <c r="I46" i="89"/>
  <c r="X46" i="89" s="1"/>
  <c r="Y46" i="89" s="1"/>
  <c r="I45" i="89"/>
  <c r="X45" i="89" s="1"/>
  <c r="Y45" i="89" s="1"/>
  <c r="I44" i="89"/>
  <c r="X44" i="89" s="1"/>
  <c r="Y44" i="89" s="1"/>
  <c r="I43" i="89"/>
  <c r="X43" i="89" s="1"/>
  <c r="Y43" i="89" s="1"/>
  <c r="E43" i="89"/>
  <c r="I42" i="89"/>
  <c r="X42" i="89" s="1"/>
  <c r="Y42" i="89" s="1"/>
  <c r="I41" i="89"/>
  <c r="X41" i="89" s="1"/>
  <c r="Y41" i="89" s="1"/>
  <c r="Y37" i="89"/>
  <c r="J37" i="89"/>
  <c r="Y36" i="89"/>
  <c r="J36" i="89"/>
  <c r="J38" i="89" s="1"/>
  <c r="V32" i="89"/>
  <c r="G32" i="89"/>
  <c r="T31" i="89"/>
  <c r="D28" i="89"/>
  <c r="E23" i="89" s="1"/>
  <c r="I23" i="89" s="1"/>
  <c r="C28" i="89"/>
  <c r="T27" i="89"/>
  <c r="X27" i="89" s="1"/>
  <c r="E27" i="89"/>
  <c r="I27" i="89" s="1"/>
  <c r="T26" i="89"/>
  <c r="X26" i="89" s="1"/>
  <c r="T25" i="89"/>
  <c r="X25" i="89" s="1"/>
  <c r="T24" i="89"/>
  <c r="X24" i="89" s="1"/>
  <c r="Y24" i="89" s="1"/>
  <c r="E24" i="89"/>
  <c r="I24" i="89" s="1"/>
  <c r="J24" i="89" s="1"/>
  <c r="T23" i="89"/>
  <c r="X23" i="89" s="1"/>
  <c r="Y23" i="89" s="1"/>
  <c r="T22" i="89"/>
  <c r="X22" i="89" s="1"/>
  <c r="Y22" i="89" s="1"/>
  <c r="T21" i="89"/>
  <c r="X21" i="89" s="1"/>
  <c r="Y21" i="89" s="1"/>
  <c r="E21" i="89"/>
  <c r="I21" i="89" s="1"/>
  <c r="T20" i="89"/>
  <c r="X20" i="89" s="1"/>
  <c r="E20" i="89"/>
  <c r="I20" i="89" s="1"/>
  <c r="T19" i="89"/>
  <c r="X19" i="89" s="1"/>
  <c r="T18" i="89"/>
  <c r="X18" i="89" s="1"/>
  <c r="T17" i="89"/>
  <c r="X17" i="89" s="1"/>
  <c r="T16" i="89"/>
  <c r="X16" i="89" s="1"/>
  <c r="T15" i="89"/>
  <c r="X15" i="89" s="1"/>
  <c r="T14" i="89"/>
  <c r="X14" i="89" s="1"/>
  <c r="E14" i="89"/>
  <c r="I14" i="89" s="1"/>
  <c r="T13" i="89"/>
  <c r="T12" i="89"/>
  <c r="X12" i="89" s="1"/>
  <c r="I7" i="89"/>
  <c r="T6" i="89"/>
  <c r="I6" i="89"/>
  <c r="J31" i="89" s="1"/>
  <c r="R2" i="89"/>
  <c r="Y106" i="88"/>
  <c r="T104" i="88"/>
  <c r="T103" i="88"/>
  <c r="X103" i="88" s="1"/>
  <c r="I103" i="88"/>
  <c r="T102" i="88"/>
  <c r="X102" i="88" s="1"/>
  <c r="I102" i="88"/>
  <c r="G102" i="88"/>
  <c r="G103" i="88" s="1"/>
  <c r="I98" i="88"/>
  <c r="X97" i="88" s="1"/>
  <c r="Y97" i="88" s="1"/>
  <c r="E98" i="88"/>
  <c r="T97" i="88"/>
  <c r="I97" i="88"/>
  <c r="X96" i="88" s="1"/>
  <c r="E97" i="88"/>
  <c r="T96" i="88"/>
  <c r="T92" i="88"/>
  <c r="G92" i="88"/>
  <c r="V92" i="88" s="1"/>
  <c r="T91" i="88"/>
  <c r="G91" i="88"/>
  <c r="V91" i="88" s="1"/>
  <c r="T90" i="88"/>
  <c r="G90" i="88"/>
  <c r="V90" i="88" s="1"/>
  <c r="G87" i="88"/>
  <c r="V87" i="88" s="1"/>
  <c r="G86" i="88"/>
  <c r="V86" i="88" s="1"/>
  <c r="G85" i="88"/>
  <c r="V85" i="88" s="1"/>
  <c r="G84" i="88"/>
  <c r="V83" i="88" s="1"/>
  <c r="J82" i="88"/>
  <c r="Y81" i="88" s="1"/>
  <c r="Y80" i="88"/>
  <c r="G72" i="88"/>
  <c r="G71" i="88"/>
  <c r="V70" i="88" s="1"/>
  <c r="G70" i="88"/>
  <c r="V69" i="88" s="1"/>
  <c r="G68" i="88"/>
  <c r="V67" i="88" s="1"/>
  <c r="I65" i="88"/>
  <c r="X64" i="88" s="1"/>
  <c r="I62" i="88"/>
  <c r="X61" i="88" s="1"/>
  <c r="I59" i="88"/>
  <c r="X58" i="88" s="1"/>
  <c r="I56" i="88"/>
  <c r="X55" i="88" s="1"/>
  <c r="I53" i="88"/>
  <c r="X52" i="88" s="1"/>
  <c r="T50" i="88"/>
  <c r="D50" i="88"/>
  <c r="E46" i="88" s="1"/>
  <c r="C50" i="88"/>
  <c r="I49" i="88"/>
  <c r="X49" i="88" s="1"/>
  <c r="Y49" i="88" s="1"/>
  <c r="I48" i="88"/>
  <c r="X48" i="88" s="1"/>
  <c r="Y48" i="88" s="1"/>
  <c r="I47" i="88"/>
  <c r="X47" i="88" s="1"/>
  <c r="Y47" i="88" s="1"/>
  <c r="I46" i="88"/>
  <c r="X46" i="88" s="1"/>
  <c r="Y46" i="88" s="1"/>
  <c r="I45" i="88"/>
  <c r="X45" i="88" s="1"/>
  <c r="Y45" i="88" s="1"/>
  <c r="I44" i="88"/>
  <c r="X44" i="88" s="1"/>
  <c r="Y44" i="88" s="1"/>
  <c r="I43" i="88"/>
  <c r="X43" i="88" s="1"/>
  <c r="Y43" i="88" s="1"/>
  <c r="I42" i="88"/>
  <c r="X42" i="88" s="1"/>
  <c r="Y42" i="88" s="1"/>
  <c r="I41" i="88"/>
  <c r="X41" i="88" s="1"/>
  <c r="Y41" i="88" s="1"/>
  <c r="Y50" i="88" s="1"/>
  <c r="Y37" i="88"/>
  <c r="J37" i="88"/>
  <c r="Y36" i="88"/>
  <c r="J36" i="88"/>
  <c r="J38" i="88" s="1"/>
  <c r="G32" i="88"/>
  <c r="T31" i="88"/>
  <c r="V32" i="88" s="1"/>
  <c r="D28" i="88"/>
  <c r="E23" i="88" s="1"/>
  <c r="I23" i="88" s="1"/>
  <c r="C28" i="88"/>
  <c r="T27" i="88"/>
  <c r="X27" i="88" s="1"/>
  <c r="T26" i="88"/>
  <c r="X26" i="88" s="1"/>
  <c r="T25" i="88"/>
  <c r="X25" i="88" s="1"/>
  <c r="T24" i="88"/>
  <c r="X24" i="88" s="1"/>
  <c r="E24" i="88"/>
  <c r="I24" i="88" s="1"/>
  <c r="T23" i="88"/>
  <c r="X23" i="88" s="1"/>
  <c r="Y23" i="88" s="1"/>
  <c r="T22" i="88"/>
  <c r="X22" i="88" s="1"/>
  <c r="Y22" i="88" s="1"/>
  <c r="T21" i="88"/>
  <c r="X21" i="88" s="1"/>
  <c r="Y21" i="88" s="1"/>
  <c r="E21" i="88"/>
  <c r="I21" i="88" s="1"/>
  <c r="J21" i="88" s="1"/>
  <c r="T20" i="88"/>
  <c r="X20" i="88" s="1"/>
  <c r="Y20" i="88" s="1"/>
  <c r="E20" i="88"/>
  <c r="I20" i="88" s="1"/>
  <c r="J20" i="88" s="1"/>
  <c r="T19" i="88"/>
  <c r="X19" i="88" s="1"/>
  <c r="T18" i="88"/>
  <c r="X18" i="88" s="1"/>
  <c r="T17" i="88"/>
  <c r="X17" i="88" s="1"/>
  <c r="T16" i="88"/>
  <c r="X16" i="88" s="1"/>
  <c r="T15" i="88"/>
  <c r="X15" i="88" s="1"/>
  <c r="T14" i="88"/>
  <c r="X14" i="88" s="1"/>
  <c r="T13" i="88"/>
  <c r="T12" i="88"/>
  <c r="X12" i="88" s="1"/>
  <c r="I7" i="88"/>
  <c r="T6" i="88"/>
  <c r="I6" i="88"/>
  <c r="J31" i="88" s="1"/>
  <c r="R2" i="88"/>
  <c r="Y106" i="87"/>
  <c r="T104" i="87"/>
  <c r="T103" i="87"/>
  <c r="X103" i="87" s="1"/>
  <c r="I103" i="87"/>
  <c r="T102" i="87"/>
  <c r="X102" i="87" s="1"/>
  <c r="I102" i="87"/>
  <c r="G102" i="87"/>
  <c r="G103" i="87" s="1"/>
  <c r="I98" i="87"/>
  <c r="E98" i="87"/>
  <c r="T97" i="87"/>
  <c r="I97" i="87"/>
  <c r="X96" i="87" s="1"/>
  <c r="E97" i="87"/>
  <c r="J97" i="87" s="1"/>
  <c r="T96" i="87"/>
  <c r="T92" i="87"/>
  <c r="G92" i="87"/>
  <c r="V92" i="87" s="1"/>
  <c r="T91" i="87"/>
  <c r="G91" i="87"/>
  <c r="V91" i="87" s="1"/>
  <c r="T90" i="87"/>
  <c r="G90" i="87"/>
  <c r="V90" i="87" s="1"/>
  <c r="D90" i="87"/>
  <c r="G87" i="87"/>
  <c r="V87" i="87" s="1"/>
  <c r="G86" i="87"/>
  <c r="V86" i="87" s="1"/>
  <c r="G85" i="87"/>
  <c r="G84" i="87"/>
  <c r="J82" i="87"/>
  <c r="Y81" i="87"/>
  <c r="J81" i="87"/>
  <c r="I84" i="87" s="1"/>
  <c r="Y80" i="87"/>
  <c r="X83" i="87" s="1"/>
  <c r="G72" i="87"/>
  <c r="V71" i="87"/>
  <c r="G71" i="87"/>
  <c r="G70" i="87"/>
  <c r="G68" i="87"/>
  <c r="V67" i="87" s="1"/>
  <c r="I65" i="87"/>
  <c r="X64" i="87" s="1"/>
  <c r="I62" i="87"/>
  <c r="X61" i="87" s="1"/>
  <c r="I59" i="87"/>
  <c r="X58" i="87" s="1"/>
  <c r="I56" i="87"/>
  <c r="X55" i="87" s="1"/>
  <c r="I53" i="87"/>
  <c r="X52" i="87"/>
  <c r="T50" i="87"/>
  <c r="D50" i="87"/>
  <c r="E46" i="87" s="1"/>
  <c r="J46" i="87" s="1"/>
  <c r="C50" i="87"/>
  <c r="I49" i="87"/>
  <c r="X49" i="87" s="1"/>
  <c r="Y49" i="87" s="1"/>
  <c r="I48" i="87"/>
  <c r="X48" i="87" s="1"/>
  <c r="Y48" i="87" s="1"/>
  <c r="I47" i="87"/>
  <c r="X47" i="87" s="1"/>
  <c r="Y47" i="87" s="1"/>
  <c r="E47" i="87"/>
  <c r="I46" i="87"/>
  <c r="X46" i="87" s="1"/>
  <c r="Y46" i="87" s="1"/>
  <c r="I45" i="87"/>
  <c r="X45" i="87" s="1"/>
  <c r="Y45" i="87" s="1"/>
  <c r="I44" i="87"/>
  <c r="X44" i="87" s="1"/>
  <c r="Y44" i="87" s="1"/>
  <c r="I43" i="87"/>
  <c r="X43" i="87" s="1"/>
  <c r="Y43" i="87" s="1"/>
  <c r="I42" i="87"/>
  <c r="X42" i="87" s="1"/>
  <c r="Y42" i="87" s="1"/>
  <c r="I41" i="87"/>
  <c r="X41" i="87" s="1"/>
  <c r="Y41" i="87" s="1"/>
  <c r="Y37" i="87"/>
  <c r="J37" i="87"/>
  <c r="Y36" i="87"/>
  <c r="Y38" i="87" s="1"/>
  <c r="J36" i="87"/>
  <c r="G32" i="87"/>
  <c r="T31" i="87"/>
  <c r="V32" i="87" s="1"/>
  <c r="D28" i="87"/>
  <c r="E23" i="87" s="1"/>
  <c r="I23" i="87" s="1"/>
  <c r="C28" i="87"/>
  <c r="T27" i="87"/>
  <c r="X27" i="87" s="1"/>
  <c r="T26" i="87"/>
  <c r="X26" i="87" s="1"/>
  <c r="Y26" i="87" s="1"/>
  <c r="T25" i="87"/>
  <c r="X25" i="87" s="1"/>
  <c r="Y25" i="87" s="1"/>
  <c r="T24" i="87"/>
  <c r="X24" i="87" s="1"/>
  <c r="Y24" i="87" s="1"/>
  <c r="E24" i="87"/>
  <c r="I24" i="87" s="1"/>
  <c r="J24" i="87" s="1"/>
  <c r="T23" i="87"/>
  <c r="X23" i="87" s="1"/>
  <c r="T22" i="87"/>
  <c r="X22" i="87" s="1"/>
  <c r="T21" i="87"/>
  <c r="X21" i="87" s="1"/>
  <c r="Y21" i="87" s="1"/>
  <c r="T20" i="87"/>
  <c r="X20" i="87" s="1"/>
  <c r="Y20" i="87" s="1"/>
  <c r="T19" i="87"/>
  <c r="X19" i="87" s="1"/>
  <c r="Y19" i="87" s="1"/>
  <c r="T18" i="87"/>
  <c r="X18" i="87" s="1"/>
  <c r="Y18" i="87" s="1"/>
  <c r="T17" i="87"/>
  <c r="X17" i="87" s="1"/>
  <c r="Y17" i="87" s="1"/>
  <c r="T16" i="87"/>
  <c r="X16" i="87" s="1"/>
  <c r="T15" i="87"/>
  <c r="X15" i="87" s="1"/>
  <c r="Y15" i="87" s="1"/>
  <c r="T14" i="87"/>
  <c r="T13" i="87"/>
  <c r="X13" i="87" s="1"/>
  <c r="T12" i="87"/>
  <c r="X12" i="87" s="1"/>
  <c r="I7" i="87"/>
  <c r="T6" i="87"/>
  <c r="I6" i="87"/>
  <c r="J31" i="87" s="1"/>
  <c r="R2" i="87"/>
  <c r="Y106" i="86"/>
  <c r="T104" i="86"/>
  <c r="X103" i="86"/>
  <c r="T103" i="86"/>
  <c r="I103" i="86"/>
  <c r="T102" i="86"/>
  <c r="V102" i="86" s="1"/>
  <c r="V103" i="86" s="1"/>
  <c r="Y103" i="86" s="1"/>
  <c r="I102" i="86"/>
  <c r="J102" i="86" s="1"/>
  <c r="G102" i="86"/>
  <c r="G103" i="86" s="1"/>
  <c r="I98" i="86"/>
  <c r="J98" i="86" s="1"/>
  <c r="E98" i="86"/>
  <c r="T97" i="86"/>
  <c r="I97" i="86"/>
  <c r="X96" i="86" s="1"/>
  <c r="E97" i="86"/>
  <c r="T96" i="86"/>
  <c r="T92" i="86"/>
  <c r="G92" i="86"/>
  <c r="V92" i="86" s="1"/>
  <c r="D92" i="86"/>
  <c r="T91" i="86"/>
  <c r="G91" i="86"/>
  <c r="V91" i="86" s="1"/>
  <c r="T90" i="86"/>
  <c r="G90" i="86"/>
  <c r="V90" i="86" s="1"/>
  <c r="G87" i="86"/>
  <c r="V87" i="86" s="1"/>
  <c r="G86" i="86"/>
  <c r="V86" i="86" s="1"/>
  <c r="G85" i="86"/>
  <c r="G84" i="86"/>
  <c r="V83" i="86" s="1"/>
  <c r="J82" i="86"/>
  <c r="Y81" i="86" s="1"/>
  <c r="J81" i="86"/>
  <c r="I84" i="86" s="1"/>
  <c r="Y80" i="86"/>
  <c r="G72" i="86"/>
  <c r="V71" i="86" s="1"/>
  <c r="G71" i="86"/>
  <c r="V70" i="86" s="1"/>
  <c r="G70" i="86"/>
  <c r="G68" i="86"/>
  <c r="V67" i="86" s="1"/>
  <c r="I65" i="86"/>
  <c r="X64" i="86" s="1"/>
  <c r="I62" i="86"/>
  <c r="X61" i="86" s="1"/>
  <c r="I59" i="86"/>
  <c r="X58" i="86" s="1"/>
  <c r="I56" i="86"/>
  <c r="X55" i="86" s="1"/>
  <c r="I53" i="86"/>
  <c r="X52" i="86" s="1"/>
  <c r="T50" i="86"/>
  <c r="D50" i="86"/>
  <c r="E48" i="86" s="1"/>
  <c r="C50" i="86"/>
  <c r="I49" i="86"/>
  <c r="X49" i="86" s="1"/>
  <c r="Y49" i="86" s="1"/>
  <c r="I48" i="86"/>
  <c r="X48" i="86" s="1"/>
  <c r="Y48" i="86" s="1"/>
  <c r="I47" i="86"/>
  <c r="X47" i="86" s="1"/>
  <c r="Y47" i="86" s="1"/>
  <c r="I46" i="86"/>
  <c r="X46" i="86" s="1"/>
  <c r="Y46" i="86" s="1"/>
  <c r="I45" i="86"/>
  <c r="X45" i="86" s="1"/>
  <c r="Y45" i="86" s="1"/>
  <c r="I44" i="86"/>
  <c r="X44" i="86" s="1"/>
  <c r="Y44" i="86" s="1"/>
  <c r="I43" i="86"/>
  <c r="X43" i="86" s="1"/>
  <c r="Y43" i="86" s="1"/>
  <c r="I42" i="86"/>
  <c r="X42" i="86" s="1"/>
  <c r="Y42" i="86" s="1"/>
  <c r="E42" i="86"/>
  <c r="I41" i="86"/>
  <c r="X41" i="86" s="1"/>
  <c r="Y41" i="86" s="1"/>
  <c r="Y50" i="86" s="1"/>
  <c r="Y37" i="86"/>
  <c r="J37" i="86"/>
  <c r="Y36" i="86"/>
  <c r="Y38" i="86" s="1"/>
  <c r="J36" i="86"/>
  <c r="J38" i="86" s="1"/>
  <c r="V32" i="86"/>
  <c r="G32" i="86"/>
  <c r="T31" i="86"/>
  <c r="D28" i="86"/>
  <c r="E25" i="86" s="1"/>
  <c r="I25" i="86" s="1"/>
  <c r="C28" i="86"/>
  <c r="T27" i="86"/>
  <c r="X27" i="86" s="1"/>
  <c r="T26" i="86"/>
  <c r="X26" i="86" s="1"/>
  <c r="T25" i="86"/>
  <c r="X25" i="86" s="1"/>
  <c r="Y25" i="86" s="1"/>
  <c r="T24" i="86"/>
  <c r="X24" i="86" s="1"/>
  <c r="Y24" i="86" s="1"/>
  <c r="T23" i="86"/>
  <c r="X23" i="86" s="1"/>
  <c r="Y23" i="86" s="1"/>
  <c r="T22" i="86"/>
  <c r="X22" i="86" s="1"/>
  <c r="Y22" i="86" s="1"/>
  <c r="T21" i="86"/>
  <c r="X21" i="86" s="1"/>
  <c r="Y21" i="86" s="1"/>
  <c r="E21" i="86"/>
  <c r="I21" i="86" s="1"/>
  <c r="J21" i="86" s="1"/>
  <c r="T20" i="86"/>
  <c r="X20" i="86" s="1"/>
  <c r="Y20" i="86" s="1"/>
  <c r="T19" i="86"/>
  <c r="X19" i="86" s="1"/>
  <c r="Y19" i="86" s="1"/>
  <c r="T18" i="86"/>
  <c r="X18" i="86" s="1"/>
  <c r="Y18" i="86" s="1"/>
  <c r="T17" i="86"/>
  <c r="X17" i="86" s="1"/>
  <c r="Y17" i="86" s="1"/>
  <c r="E17" i="86"/>
  <c r="I17" i="86" s="1"/>
  <c r="J17" i="86" s="1"/>
  <c r="T16" i="86"/>
  <c r="X16" i="86" s="1"/>
  <c r="T15" i="86"/>
  <c r="X15" i="86" s="1"/>
  <c r="Y15" i="86" s="1"/>
  <c r="T14" i="86"/>
  <c r="X14" i="86" s="1"/>
  <c r="T13" i="86"/>
  <c r="T12" i="86"/>
  <c r="X12" i="86" s="1"/>
  <c r="I7" i="86"/>
  <c r="T6" i="86"/>
  <c r="I6" i="86"/>
  <c r="J31" i="86" s="1"/>
  <c r="R2" i="86"/>
  <c r="Y106" i="85"/>
  <c r="T104" i="85"/>
  <c r="T103" i="85"/>
  <c r="X103" i="85" s="1"/>
  <c r="I103" i="85"/>
  <c r="T102" i="85"/>
  <c r="V102" i="85" s="1"/>
  <c r="V103" i="85" s="1"/>
  <c r="I102" i="85"/>
  <c r="I104" i="85" s="1"/>
  <c r="J104" i="85" s="1"/>
  <c r="G102" i="85"/>
  <c r="G103" i="85" s="1"/>
  <c r="I98" i="85"/>
  <c r="E98" i="85"/>
  <c r="T97" i="85"/>
  <c r="I97" i="85"/>
  <c r="X96" i="85" s="1"/>
  <c r="E97" i="85"/>
  <c r="T96" i="85"/>
  <c r="T92" i="85"/>
  <c r="G92" i="85"/>
  <c r="V92" i="85" s="1"/>
  <c r="T91" i="85"/>
  <c r="G91" i="85"/>
  <c r="V91" i="85" s="1"/>
  <c r="T90" i="85"/>
  <c r="G90" i="85"/>
  <c r="V90" i="85" s="1"/>
  <c r="G87" i="85"/>
  <c r="V87" i="85" s="1"/>
  <c r="G86" i="85"/>
  <c r="V86" i="85" s="1"/>
  <c r="G85" i="85"/>
  <c r="G84" i="85"/>
  <c r="V83" i="85" s="1"/>
  <c r="J82" i="85"/>
  <c r="Y81" i="85" s="1"/>
  <c r="Y80" i="85"/>
  <c r="G72" i="85"/>
  <c r="V71" i="85" s="1"/>
  <c r="G71" i="85"/>
  <c r="V70" i="85" s="1"/>
  <c r="G70" i="85"/>
  <c r="V69" i="85" s="1"/>
  <c r="G68" i="85"/>
  <c r="V67" i="85" s="1"/>
  <c r="I65" i="85"/>
  <c r="X64" i="85" s="1"/>
  <c r="I62" i="85"/>
  <c r="X61" i="85" s="1"/>
  <c r="I59" i="85"/>
  <c r="X58" i="85" s="1"/>
  <c r="I56" i="85"/>
  <c r="X55" i="85" s="1"/>
  <c r="I53" i="85"/>
  <c r="X52" i="85" s="1"/>
  <c r="T50" i="85"/>
  <c r="D50" i="85"/>
  <c r="E46" i="85" s="1"/>
  <c r="C50" i="85"/>
  <c r="I49" i="85"/>
  <c r="X49" i="85" s="1"/>
  <c r="Y49" i="85" s="1"/>
  <c r="I48" i="85"/>
  <c r="X48" i="85" s="1"/>
  <c r="Y48" i="85" s="1"/>
  <c r="I47" i="85"/>
  <c r="X47" i="85" s="1"/>
  <c r="Y47" i="85" s="1"/>
  <c r="I46" i="85"/>
  <c r="X46" i="85" s="1"/>
  <c r="Y46" i="85" s="1"/>
  <c r="I45" i="85"/>
  <c r="X45" i="85" s="1"/>
  <c r="Y45" i="85" s="1"/>
  <c r="I44" i="85"/>
  <c r="X44" i="85" s="1"/>
  <c r="Y44" i="85" s="1"/>
  <c r="I43" i="85"/>
  <c r="X43" i="85" s="1"/>
  <c r="Y43" i="85" s="1"/>
  <c r="I42" i="85"/>
  <c r="X42" i="85" s="1"/>
  <c r="Y42" i="85" s="1"/>
  <c r="I41" i="85"/>
  <c r="X41" i="85" s="1"/>
  <c r="Y41" i="85" s="1"/>
  <c r="Y37" i="85"/>
  <c r="J37" i="85"/>
  <c r="Y36" i="85"/>
  <c r="J36" i="85"/>
  <c r="G32" i="85"/>
  <c r="T31" i="85"/>
  <c r="V32" i="85" s="1"/>
  <c r="D28" i="85"/>
  <c r="E23" i="85" s="1"/>
  <c r="I23" i="85" s="1"/>
  <c r="C28" i="85"/>
  <c r="T27" i="85"/>
  <c r="X27" i="85" s="1"/>
  <c r="T26" i="85"/>
  <c r="X26" i="85" s="1"/>
  <c r="T25" i="85"/>
  <c r="X25" i="85" s="1"/>
  <c r="T24" i="85"/>
  <c r="X24" i="85" s="1"/>
  <c r="T23" i="85"/>
  <c r="X23" i="85" s="1"/>
  <c r="T22" i="85"/>
  <c r="X22" i="85" s="1"/>
  <c r="T21" i="85"/>
  <c r="X21" i="85" s="1"/>
  <c r="T20" i="85"/>
  <c r="X20" i="85" s="1"/>
  <c r="T19" i="85"/>
  <c r="X19" i="85" s="1"/>
  <c r="T18" i="85"/>
  <c r="X18" i="85" s="1"/>
  <c r="T17" i="85"/>
  <c r="X17" i="85" s="1"/>
  <c r="T16" i="85"/>
  <c r="X16" i="85" s="1"/>
  <c r="T15" i="85"/>
  <c r="X15" i="85" s="1"/>
  <c r="T14" i="85"/>
  <c r="X14" i="85" s="1"/>
  <c r="T13" i="85"/>
  <c r="T12" i="85"/>
  <c r="X12" i="85" s="1"/>
  <c r="I7" i="85"/>
  <c r="T6" i="85"/>
  <c r="I6" i="85"/>
  <c r="R2" i="85"/>
  <c r="Y106" i="84"/>
  <c r="T104" i="84"/>
  <c r="T103" i="84"/>
  <c r="X103" i="84" s="1"/>
  <c r="I103" i="84"/>
  <c r="T102" i="84"/>
  <c r="X102" i="84" s="1"/>
  <c r="I102" i="84"/>
  <c r="G102" i="84"/>
  <c r="G103" i="84" s="1"/>
  <c r="I98" i="84"/>
  <c r="J98" i="84" s="1"/>
  <c r="E98" i="84"/>
  <c r="T97" i="84"/>
  <c r="I97" i="84"/>
  <c r="X96" i="84" s="1"/>
  <c r="E97" i="84"/>
  <c r="J97" i="84" s="1"/>
  <c r="T96" i="84"/>
  <c r="T92" i="84"/>
  <c r="G92" i="84"/>
  <c r="V92" i="84" s="1"/>
  <c r="D92" i="84"/>
  <c r="V91" i="84"/>
  <c r="T91" i="84"/>
  <c r="G91" i="84"/>
  <c r="T90" i="84"/>
  <c r="G90" i="84"/>
  <c r="V90" i="84" s="1"/>
  <c r="G87" i="84"/>
  <c r="G86" i="84"/>
  <c r="V86" i="84" s="1"/>
  <c r="G85" i="84"/>
  <c r="G84" i="84"/>
  <c r="J82" i="84"/>
  <c r="Y81" i="84" s="1"/>
  <c r="X83" i="84" s="1"/>
  <c r="J81" i="84"/>
  <c r="Y80" i="84"/>
  <c r="G72" i="84"/>
  <c r="V71" i="84"/>
  <c r="G71" i="84"/>
  <c r="V70" i="84" s="1"/>
  <c r="G70" i="84"/>
  <c r="V69" i="84" s="1"/>
  <c r="G68" i="84"/>
  <c r="V67" i="84" s="1"/>
  <c r="I65" i="84"/>
  <c r="X64" i="84" s="1"/>
  <c r="I62" i="84"/>
  <c r="X61" i="84" s="1"/>
  <c r="I59" i="84"/>
  <c r="X58" i="84" s="1"/>
  <c r="I56" i="84"/>
  <c r="X55" i="84" s="1"/>
  <c r="I53" i="84"/>
  <c r="X52" i="84" s="1"/>
  <c r="T50" i="84"/>
  <c r="D50" i="84"/>
  <c r="C50" i="84"/>
  <c r="I49" i="84"/>
  <c r="X49" i="84" s="1"/>
  <c r="Y49" i="84" s="1"/>
  <c r="I48" i="84"/>
  <c r="X48" i="84" s="1"/>
  <c r="Y48" i="84" s="1"/>
  <c r="I47" i="84"/>
  <c r="X47" i="84" s="1"/>
  <c r="Y47" i="84" s="1"/>
  <c r="I46" i="84"/>
  <c r="X46" i="84" s="1"/>
  <c r="Y46" i="84" s="1"/>
  <c r="I45" i="84"/>
  <c r="X45" i="84" s="1"/>
  <c r="Y45" i="84" s="1"/>
  <c r="I44" i="84"/>
  <c r="X44" i="84" s="1"/>
  <c r="Y44" i="84" s="1"/>
  <c r="I43" i="84"/>
  <c r="X43" i="84" s="1"/>
  <c r="Y43" i="84" s="1"/>
  <c r="I42" i="84"/>
  <c r="X42" i="84" s="1"/>
  <c r="Y42" i="84" s="1"/>
  <c r="I41" i="84"/>
  <c r="X41" i="84" s="1"/>
  <c r="Y41" i="84" s="1"/>
  <c r="Y37" i="84"/>
  <c r="J37" i="84"/>
  <c r="Y36" i="84"/>
  <c r="J36" i="84"/>
  <c r="G32" i="84"/>
  <c r="T31" i="84"/>
  <c r="V32" i="84" s="1"/>
  <c r="D28" i="84"/>
  <c r="E23" i="84" s="1"/>
  <c r="C28" i="84"/>
  <c r="T27" i="84"/>
  <c r="X27" i="84" s="1"/>
  <c r="E27" i="84"/>
  <c r="I27" i="84" s="1"/>
  <c r="T26" i="84"/>
  <c r="X26" i="84" s="1"/>
  <c r="T25" i="84"/>
  <c r="X25" i="84" s="1"/>
  <c r="T24" i="84"/>
  <c r="X24" i="84" s="1"/>
  <c r="E24" i="84"/>
  <c r="I24" i="84" s="1"/>
  <c r="T23" i="84"/>
  <c r="X23" i="84" s="1"/>
  <c r="I23" i="84"/>
  <c r="J23" i="84" s="1"/>
  <c r="T22" i="84"/>
  <c r="X22" i="84" s="1"/>
  <c r="Y22" i="84" s="1"/>
  <c r="T21" i="84"/>
  <c r="X21" i="84" s="1"/>
  <c r="Y21" i="84" s="1"/>
  <c r="E21" i="84"/>
  <c r="I21" i="84" s="1"/>
  <c r="J21" i="84" s="1"/>
  <c r="T20" i="84"/>
  <c r="X20" i="84" s="1"/>
  <c r="Y20" i="84" s="1"/>
  <c r="E20" i="84"/>
  <c r="I20" i="84" s="1"/>
  <c r="J20" i="84" s="1"/>
  <c r="T19" i="84"/>
  <c r="X19" i="84" s="1"/>
  <c r="T18" i="84"/>
  <c r="X18" i="84" s="1"/>
  <c r="T17" i="84"/>
  <c r="X17" i="84" s="1"/>
  <c r="T16" i="84"/>
  <c r="X16" i="84" s="1"/>
  <c r="T15" i="84"/>
  <c r="X15" i="84" s="1"/>
  <c r="T14" i="84"/>
  <c r="X14" i="84" s="1"/>
  <c r="E14" i="84"/>
  <c r="I14" i="84" s="1"/>
  <c r="T13" i="84"/>
  <c r="T12" i="84"/>
  <c r="X12" i="84" s="1"/>
  <c r="I7" i="84"/>
  <c r="T6" i="84"/>
  <c r="I6" i="84"/>
  <c r="J31" i="84" s="1"/>
  <c r="Y31" i="84" s="1"/>
  <c r="Y32" i="84" s="1"/>
  <c r="R2" i="84"/>
  <c r="Y106" i="83"/>
  <c r="T104" i="83"/>
  <c r="I104" i="83"/>
  <c r="J104" i="83" s="1"/>
  <c r="T103" i="83"/>
  <c r="X103" i="83" s="1"/>
  <c r="I103" i="83"/>
  <c r="J103" i="83" s="1"/>
  <c r="T102" i="83"/>
  <c r="X102" i="83" s="1"/>
  <c r="I102" i="83"/>
  <c r="G102" i="83"/>
  <c r="G103" i="83" s="1"/>
  <c r="I98" i="83"/>
  <c r="E98" i="83"/>
  <c r="X97" i="83"/>
  <c r="T97" i="83"/>
  <c r="I97" i="83"/>
  <c r="X96" i="83" s="1"/>
  <c r="E97" i="83"/>
  <c r="T96" i="83"/>
  <c r="T92" i="83"/>
  <c r="G92" i="83"/>
  <c r="V92" i="83" s="1"/>
  <c r="D92" i="83"/>
  <c r="T91" i="83"/>
  <c r="G91" i="83"/>
  <c r="V91" i="83" s="1"/>
  <c r="T90" i="83"/>
  <c r="G90" i="83"/>
  <c r="V90" i="83" s="1"/>
  <c r="G87" i="83"/>
  <c r="G86" i="83"/>
  <c r="G85" i="83"/>
  <c r="V85" i="83" s="1"/>
  <c r="G84" i="83"/>
  <c r="V83" i="83" s="1"/>
  <c r="J82" i="83"/>
  <c r="Y81" i="83" s="1"/>
  <c r="J81" i="83"/>
  <c r="Y80" i="83"/>
  <c r="G72" i="83"/>
  <c r="V71" i="83" s="1"/>
  <c r="G71" i="83"/>
  <c r="V70" i="83" s="1"/>
  <c r="G70" i="83"/>
  <c r="G68" i="83"/>
  <c r="V67" i="83" s="1"/>
  <c r="I65" i="83"/>
  <c r="X64" i="83" s="1"/>
  <c r="I62" i="83"/>
  <c r="X61" i="83" s="1"/>
  <c r="I59" i="83"/>
  <c r="X58" i="83" s="1"/>
  <c r="I56" i="83"/>
  <c r="X55" i="83" s="1"/>
  <c r="I53" i="83"/>
  <c r="X52" i="83"/>
  <c r="T50" i="83"/>
  <c r="D50" i="83"/>
  <c r="C50" i="83"/>
  <c r="I49" i="83"/>
  <c r="X49" i="83" s="1"/>
  <c r="Y49" i="83" s="1"/>
  <c r="I48" i="83"/>
  <c r="X48" i="83" s="1"/>
  <c r="Y48" i="83" s="1"/>
  <c r="I47" i="83"/>
  <c r="X47" i="83" s="1"/>
  <c r="Y47" i="83" s="1"/>
  <c r="E47" i="83"/>
  <c r="I46" i="83"/>
  <c r="X46" i="83" s="1"/>
  <c r="Y46" i="83" s="1"/>
  <c r="I45" i="83"/>
  <c r="X45" i="83" s="1"/>
  <c r="Y45" i="83" s="1"/>
  <c r="I44" i="83"/>
  <c r="X44" i="83" s="1"/>
  <c r="Y44" i="83" s="1"/>
  <c r="I43" i="83"/>
  <c r="X43" i="83" s="1"/>
  <c r="Y43" i="83" s="1"/>
  <c r="I42" i="83"/>
  <c r="X42" i="83" s="1"/>
  <c r="Y42" i="83" s="1"/>
  <c r="I41" i="83"/>
  <c r="X41" i="83" s="1"/>
  <c r="Y41" i="83" s="1"/>
  <c r="Y37" i="83"/>
  <c r="J37" i="83"/>
  <c r="Y36" i="83"/>
  <c r="J36" i="83"/>
  <c r="G32" i="83"/>
  <c r="T31" i="83"/>
  <c r="V32" i="83" s="1"/>
  <c r="D28" i="83"/>
  <c r="E23" i="83" s="1"/>
  <c r="I23" i="83" s="1"/>
  <c r="C28" i="83"/>
  <c r="T27" i="83"/>
  <c r="X27" i="83" s="1"/>
  <c r="E27" i="83"/>
  <c r="I27" i="83" s="1"/>
  <c r="T26" i="83"/>
  <c r="X26" i="83" s="1"/>
  <c r="T25" i="83"/>
  <c r="X25" i="83" s="1"/>
  <c r="T24" i="83"/>
  <c r="X24" i="83" s="1"/>
  <c r="Y24" i="83" s="1"/>
  <c r="T23" i="83"/>
  <c r="X23" i="83" s="1"/>
  <c r="Y23" i="83" s="1"/>
  <c r="T22" i="83"/>
  <c r="X22" i="83" s="1"/>
  <c r="Y22" i="83" s="1"/>
  <c r="T21" i="83"/>
  <c r="X21" i="83" s="1"/>
  <c r="Y21" i="83" s="1"/>
  <c r="E21" i="83"/>
  <c r="I21" i="83" s="1"/>
  <c r="J21" i="83" s="1"/>
  <c r="T20" i="83"/>
  <c r="X20" i="83" s="1"/>
  <c r="Y20" i="83" s="1"/>
  <c r="E20" i="83"/>
  <c r="I20" i="83" s="1"/>
  <c r="J20" i="83" s="1"/>
  <c r="T19" i="83"/>
  <c r="X19" i="83" s="1"/>
  <c r="T18" i="83"/>
  <c r="X18" i="83" s="1"/>
  <c r="T17" i="83"/>
  <c r="X17" i="83" s="1"/>
  <c r="T16" i="83"/>
  <c r="X16" i="83" s="1"/>
  <c r="T15" i="83"/>
  <c r="X15" i="83" s="1"/>
  <c r="T14" i="83"/>
  <c r="X14" i="83" s="1"/>
  <c r="E14" i="83"/>
  <c r="I14" i="83" s="1"/>
  <c r="T13" i="83"/>
  <c r="T12" i="83"/>
  <c r="X12" i="83" s="1"/>
  <c r="I7" i="83"/>
  <c r="T6" i="83"/>
  <c r="I6" i="83"/>
  <c r="J31" i="83" s="1"/>
  <c r="Y31" i="83" s="1"/>
  <c r="Y32" i="83" s="1"/>
  <c r="R2" i="83"/>
  <c r="Y106" i="82"/>
  <c r="T104" i="82"/>
  <c r="T103" i="82"/>
  <c r="X103" i="82" s="1"/>
  <c r="I103" i="82"/>
  <c r="T102" i="82"/>
  <c r="V102" i="82" s="1"/>
  <c r="V103" i="82" s="1"/>
  <c r="I102" i="82"/>
  <c r="G102" i="82"/>
  <c r="G103" i="82" s="1"/>
  <c r="I98" i="82"/>
  <c r="X97" i="82" s="1"/>
  <c r="Y97" i="82" s="1"/>
  <c r="E98" i="82"/>
  <c r="T97" i="82"/>
  <c r="I97" i="82"/>
  <c r="X96" i="82" s="1"/>
  <c r="E97" i="82"/>
  <c r="T96" i="82"/>
  <c r="T92" i="82"/>
  <c r="G92" i="82"/>
  <c r="V92" i="82" s="1"/>
  <c r="T91" i="82"/>
  <c r="G91" i="82"/>
  <c r="V91" i="82" s="1"/>
  <c r="T90" i="82"/>
  <c r="G90" i="82"/>
  <c r="V90" i="82" s="1"/>
  <c r="G87" i="82"/>
  <c r="G86" i="82"/>
  <c r="V86" i="82" s="1"/>
  <c r="G85" i="82"/>
  <c r="V85" i="82" s="1"/>
  <c r="G84" i="82"/>
  <c r="J82" i="82"/>
  <c r="Y81" i="82" s="1"/>
  <c r="X83" i="82" s="1"/>
  <c r="Y80" i="82"/>
  <c r="G72" i="82"/>
  <c r="G71" i="82"/>
  <c r="V70" i="82" s="1"/>
  <c r="G70" i="82"/>
  <c r="G68" i="82"/>
  <c r="V67" i="82" s="1"/>
  <c r="I65" i="82"/>
  <c r="X64" i="82" s="1"/>
  <c r="I62" i="82"/>
  <c r="X61" i="82" s="1"/>
  <c r="I59" i="82"/>
  <c r="X58" i="82" s="1"/>
  <c r="I56" i="82"/>
  <c r="X55" i="82" s="1"/>
  <c r="I53" i="82"/>
  <c r="X52" i="82" s="1"/>
  <c r="T50" i="82"/>
  <c r="D50" i="82"/>
  <c r="E46" i="82" s="1"/>
  <c r="C50" i="82"/>
  <c r="I49" i="82"/>
  <c r="X49" i="82" s="1"/>
  <c r="Y49" i="82" s="1"/>
  <c r="I48" i="82"/>
  <c r="X48" i="82" s="1"/>
  <c r="Y48" i="82" s="1"/>
  <c r="I47" i="82"/>
  <c r="X47" i="82" s="1"/>
  <c r="Y47" i="82" s="1"/>
  <c r="I46" i="82"/>
  <c r="X46" i="82" s="1"/>
  <c r="Y46" i="82" s="1"/>
  <c r="I45" i="82"/>
  <c r="X45" i="82" s="1"/>
  <c r="Y45" i="82" s="1"/>
  <c r="I44" i="82"/>
  <c r="X44" i="82" s="1"/>
  <c r="Y44" i="82" s="1"/>
  <c r="I43" i="82"/>
  <c r="X43" i="82" s="1"/>
  <c r="Y43" i="82" s="1"/>
  <c r="I42" i="82"/>
  <c r="X42" i="82" s="1"/>
  <c r="Y42" i="82" s="1"/>
  <c r="I41" i="82"/>
  <c r="X41" i="82" s="1"/>
  <c r="Y41" i="82" s="1"/>
  <c r="Y37" i="82"/>
  <c r="J37" i="82"/>
  <c r="Y36" i="82"/>
  <c r="Y38" i="82" s="1"/>
  <c r="J36" i="82"/>
  <c r="G32" i="82"/>
  <c r="T31" i="82"/>
  <c r="V32" i="82" s="1"/>
  <c r="D28" i="82"/>
  <c r="E23" i="82" s="1"/>
  <c r="I23" i="82" s="1"/>
  <c r="C28" i="82"/>
  <c r="T27" i="82"/>
  <c r="X27" i="82" s="1"/>
  <c r="T26" i="82"/>
  <c r="X26" i="82" s="1"/>
  <c r="T25" i="82"/>
  <c r="X25" i="82" s="1"/>
  <c r="T24" i="82"/>
  <c r="X24" i="82" s="1"/>
  <c r="E24" i="82"/>
  <c r="I24" i="82" s="1"/>
  <c r="J24" i="82" s="1"/>
  <c r="T23" i="82"/>
  <c r="X23" i="82" s="1"/>
  <c r="Y23" i="82" s="1"/>
  <c r="T22" i="82"/>
  <c r="X22" i="82" s="1"/>
  <c r="T21" i="82"/>
  <c r="X21" i="82" s="1"/>
  <c r="T20" i="82"/>
  <c r="X20" i="82" s="1"/>
  <c r="T19" i="82"/>
  <c r="X19" i="82" s="1"/>
  <c r="T18" i="82"/>
  <c r="X18" i="82" s="1"/>
  <c r="T17" i="82"/>
  <c r="X17" i="82" s="1"/>
  <c r="T16" i="82"/>
  <c r="X16" i="82" s="1"/>
  <c r="T15" i="82"/>
  <c r="X15" i="82" s="1"/>
  <c r="T14" i="82"/>
  <c r="X14" i="82" s="1"/>
  <c r="E14" i="82"/>
  <c r="I14" i="82" s="1"/>
  <c r="T13" i="82"/>
  <c r="T12" i="82"/>
  <c r="X12" i="82" s="1"/>
  <c r="I7" i="82"/>
  <c r="T6" i="82"/>
  <c r="I6" i="82"/>
  <c r="J31" i="82" s="1"/>
  <c r="R2" i="82"/>
  <c r="Y106" i="81"/>
  <c r="T104" i="81"/>
  <c r="T103" i="81"/>
  <c r="X103" i="81" s="1"/>
  <c r="I103" i="81"/>
  <c r="T102" i="81"/>
  <c r="V102" i="81" s="1"/>
  <c r="V103" i="81" s="1"/>
  <c r="I102" i="81"/>
  <c r="I104" i="81" s="1"/>
  <c r="J104" i="81" s="1"/>
  <c r="G102" i="81"/>
  <c r="G103" i="81" s="1"/>
  <c r="I98" i="81"/>
  <c r="J98" i="81" s="1"/>
  <c r="E98" i="81"/>
  <c r="T97" i="81"/>
  <c r="I97" i="81"/>
  <c r="X96" i="81" s="1"/>
  <c r="E97" i="81"/>
  <c r="T96" i="81"/>
  <c r="T92" i="81"/>
  <c r="G92" i="81"/>
  <c r="V92" i="81" s="1"/>
  <c r="V91" i="81"/>
  <c r="T91" i="81"/>
  <c r="G91" i="81"/>
  <c r="T90" i="81"/>
  <c r="G90" i="81"/>
  <c r="V90" i="81" s="1"/>
  <c r="G87" i="81"/>
  <c r="V87" i="81" s="1"/>
  <c r="G86" i="81"/>
  <c r="V86" i="81" s="1"/>
  <c r="G85" i="81"/>
  <c r="G84" i="81"/>
  <c r="J82" i="81"/>
  <c r="Y81" i="81" s="1"/>
  <c r="Y80" i="81"/>
  <c r="G72" i="81"/>
  <c r="G71" i="81"/>
  <c r="V70" i="81" s="1"/>
  <c r="G70" i="81"/>
  <c r="V69" i="81" s="1"/>
  <c r="G68" i="81"/>
  <c r="V67" i="81" s="1"/>
  <c r="I65" i="81"/>
  <c r="X64" i="81" s="1"/>
  <c r="I62" i="81"/>
  <c r="X61" i="81" s="1"/>
  <c r="I59" i="81"/>
  <c r="X58" i="81" s="1"/>
  <c r="I56" i="81"/>
  <c r="X55" i="81" s="1"/>
  <c r="I53" i="81"/>
  <c r="X52" i="81" s="1"/>
  <c r="T50" i="81"/>
  <c r="D50" i="81"/>
  <c r="E46" i="81" s="1"/>
  <c r="C50" i="81"/>
  <c r="I49" i="81"/>
  <c r="X49" i="81" s="1"/>
  <c r="Y49" i="81" s="1"/>
  <c r="I48" i="81"/>
  <c r="X48" i="81" s="1"/>
  <c r="Y48" i="81" s="1"/>
  <c r="I47" i="81"/>
  <c r="X47" i="81" s="1"/>
  <c r="Y47" i="81" s="1"/>
  <c r="I46" i="81"/>
  <c r="X46" i="81" s="1"/>
  <c r="Y46" i="81" s="1"/>
  <c r="I45" i="81"/>
  <c r="X45" i="81" s="1"/>
  <c r="Y45" i="81" s="1"/>
  <c r="I44" i="81"/>
  <c r="X44" i="81" s="1"/>
  <c r="Y44" i="81" s="1"/>
  <c r="I43" i="81"/>
  <c r="X43" i="81" s="1"/>
  <c r="Y43" i="81" s="1"/>
  <c r="I42" i="81"/>
  <c r="X42" i="81" s="1"/>
  <c r="Y42" i="81" s="1"/>
  <c r="I41" i="81"/>
  <c r="X41" i="81" s="1"/>
  <c r="Y41" i="81" s="1"/>
  <c r="Y50" i="81" s="1"/>
  <c r="Y37" i="81"/>
  <c r="J37" i="81"/>
  <c r="Y36" i="81"/>
  <c r="Y38" i="81" s="1"/>
  <c r="J36" i="81"/>
  <c r="J38" i="81" s="1"/>
  <c r="G32" i="81"/>
  <c r="T31" i="81"/>
  <c r="V32" i="81" s="1"/>
  <c r="D28" i="81"/>
  <c r="E23" i="81" s="1"/>
  <c r="I23" i="81" s="1"/>
  <c r="C28" i="81"/>
  <c r="T27" i="81"/>
  <c r="X27" i="81" s="1"/>
  <c r="E27" i="81"/>
  <c r="I27" i="81" s="1"/>
  <c r="T26" i="81"/>
  <c r="X26" i="81" s="1"/>
  <c r="T25" i="81"/>
  <c r="X25" i="81" s="1"/>
  <c r="T24" i="81"/>
  <c r="X24" i="81" s="1"/>
  <c r="E24" i="81"/>
  <c r="I24" i="81" s="1"/>
  <c r="J24" i="81" s="1"/>
  <c r="T23" i="81"/>
  <c r="X23" i="81" s="1"/>
  <c r="Y23" i="81" s="1"/>
  <c r="T22" i="81"/>
  <c r="X22" i="81" s="1"/>
  <c r="Y22" i="81" s="1"/>
  <c r="T21" i="81"/>
  <c r="X21" i="81" s="1"/>
  <c r="Y21" i="81" s="1"/>
  <c r="E21" i="81"/>
  <c r="I21" i="81" s="1"/>
  <c r="J21" i="81" s="1"/>
  <c r="T20" i="81"/>
  <c r="X20" i="81" s="1"/>
  <c r="Y20" i="81" s="1"/>
  <c r="T19" i="81"/>
  <c r="X19" i="81" s="1"/>
  <c r="T18" i="81"/>
  <c r="X18" i="81" s="1"/>
  <c r="E18" i="81"/>
  <c r="I18" i="81" s="1"/>
  <c r="T17" i="81"/>
  <c r="X17" i="81" s="1"/>
  <c r="T16" i="81"/>
  <c r="X16" i="81" s="1"/>
  <c r="T15" i="81"/>
  <c r="X15" i="81" s="1"/>
  <c r="T14" i="81"/>
  <c r="X14" i="81" s="1"/>
  <c r="E14" i="81"/>
  <c r="I14" i="81" s="1"/>
  <c r="T13" i="81"/>
  <c r="T12" i="81"/>
  <c r="X12" i="81" s="1"/>
  <c r="I7" i="81"/>
  <c r="T6" i="81"/>
  <c r="I6" i="81"/>
  <c r="J31" i="81" s="1"/>
  <c r="R2" i="81"/>
  <c r="Y106" i="80"/>
  <c r="T104" i="80"/>
  <c r="I104" i="80"/>
  <c r="J104" i="80" s="1"/>
  <c r="T103" i="80"/>
  <c r="X103" i="80" s="1"/>
  <c r="I103" i="80"/>
  <c r="T102" i="80"/>
  <c r="X102" i="80" s="1"/>
  <c r="I102" i="80"/>
  <c r="G102" i="80"/>
  <c r="G103" i="80" s="1"/>
  <c r="I98" i="80"/>
  <c r="J98" i="80" s="1"/>
  <c r="E98" i="80"/>
  <c r="T97" i="80"/>
  <c r="I97" i="80"/>
  <c r="X96" i="80" s="1"/>
  <c r="E97" i="80"/>
  <c r="J97" i="80" s="1"/>
  <c r="T96" i="80"/>
  <c r="T92" i="80"/>
  <c r="G92" i="80"/>
  <c r="V92" i="80" s="1"/>
  <c r="D92" i="80"/>
  <c r="T91" i="80"/>
  <c r="G91" i="80"/>
  <c r="V91" i="80" s="1"/>
  <c r="T90" i="80"/>
  <c r="G90" i="80"/>
  <c r="V90" i="80" s="1"/>
  <c r="D90" i="80"/>
  <c r="G87" i="80"/>
  <c r="G86" i="80"/>
  <c r="V86" i="80" s="1"/>
  <c r="G85" i="80"/>
  <c r="V85" i="80" s="1"/>
  <c r="G84" i="80"/>
  <c r="J82" i="80"/>
  <c r="Y81" i="80" s="1"/>
  <c r="J81" i="80"/>
  <c r="I84" i="80" s="1"/>
  <c r="Y80" i="80"/>
  <c r="G72" i="80"/>
  <c r="G71" i="80"/>
  <c r="V70" i="80" s="1"/>
  <c r="G70" i="80"/>
  <c r="V69" i="80" s="1"/>
  <c r="G68" i="80"/>
  <c r="V67" i="80" s="1"/>
  <c r="I65" i="80"/>
  <c r="X64" i="80" s="1"/>
  <c r="I62" i="80"/>
  <c r="X61" i="80" s="1"/>
  <c r="I59" i="80"/>
  <c r="X58" i="80" s="1"/>
  <c r="I56" i="80"/>
  <c r="X55" i="80" s="1"/>
  <c r="I53" i="80"/>
  <c r="X52" i="80" s="1"/>
  <c r="T50" i="80"/>
  <c r="D50" i="80"/>
  <c r="E46" i="80" s="1"/>
  <c r="J46" i="80" s="1"/>
  <c r="C50" i="80"/>
  <c r="I49" i="80"/>
  <c r="X49" i="80" s="1"/>
  <c r="Y49" i="80" s="1"/>
  <c r="I48" i="80"/>
  <c r="X48" i="80" s="1"/>
  <c r="Y48" i="80" s="1"/>
  <c r="I47" i="80"/>
  <c r="X47" i="80" s="1"/>
  <c r="Y47" i="80" s="1"/>
  <c r="I46" i="80"/>
  <c r="X46" i="80" s="1"/>
  <c r="Y46" i="80" s="1"/>
  <c r="I45" i="80"/>
  <c r="X45" i="80" s="1"/>
  <c r="Y45" i="80" s="1"/>
  <c r="I44" i="80"/>
  <c r="X44" i="80" s="1"/>
  <c r="Y44" i="80" s="1"/>
  <c r="I43" i="80"/>
  <c r="X43" i="80" s="1"/>
  <c r="Y43" i="80" s="1"/>
  <c r="I42" i="80"/>
  <c r="X42" i="80" s="1"/>
  <c r="Y42" i="80" s="1"/>
  <c r="I41" i="80"/>
  <c r="X41" i="80" s="1"/>
  <c r="Y41" i="80" s="1"/>
  <c r="Y37" i="80"/>
  <c r="J37" i="80"/>
  <c r="Y36" i="80"/>
  <c r="J36" i="80"/>
  <c r="G32" i="80"/>
  <c r="T31" i="80"/>
  <c r="V32" i="80" s="1"/>
  <c r="D28" i="80"/>
  <c r="E23" i="80" s="1"/>
  <c r="I23" i="80" s="1"/>
  <c r="J23" i="80" s="1"/>
  <c r="C28" i="80"/>
  <c r="T27" i="80"/>
  <c r="X27" i="80" s="1"/>
  <c r="Y27" i="80" s="1"/>
  <c r="E27" i="80"/>
  <c r="I27" i="80" s="1"/>
  <c r="J27" i="80" s="1"/>
  <c r="T26" i="80"/>
  <c r="X26" i="80" s="1"/>
  <c r="Y26" i="80" s="1"/>
  <c r="T25" i="80"/>
  <c r="X25" i="80" s="1"/>
  <c r="T24" i="80"/>
  <c r="X24" i="80" s="1"/>
  <c r="T23" i="80"/>
  <c r="X23" i="80" s="1"/>
  <c r="Y23" i="80" s="1"/>
  <c r="T22" i="80"/>
  <c r="X22" i="80" s="1"/>
  <c r="Y22" i="80" s="1"/>
  <c r="T21" i="80"/>
  <c r="X21" i="80" s="1"/>
  <c r="Y21" i="80" s="1"/>
  <c r="T20" i="80"/>
  <c r="X20" i="80" s="1"/>
  <c r="Y20" i="80" s="1"/>
  <c r="T19" i="80"/>
  <c r="X19" i="80" s="1"/>
  <c r="Y19" i="80" s="1"/>
  <c r="T18" i="80"/>
  <c r="X18" i="80" s="1"/>
  <c r="T17" i="80"/>
  <c r="X17" i="80" s="1"/>
  <c r="Y17" i="80" s="1"/>
  <c r="T16" i="80"/>
  <c r="X16" i="80" s="1"/>
  <c r="T15" i="80"/>
  <c r="X15" i="80" s="1"/>
  <c r="Y15" i="80" s="1"/>
  <c r="T14" i="80"/>
  <c r="X14" i="80" s="1"/>
  <c r="E14" i="80"/>
  <c r="I14" i="80" s="1"/>
  <c r="T13" i="80"/>
  <c r="T12" i="80"/>
  <c r="X12" i="80" s="1"/>
  <c r="I7" i="80"/>
  <c r="T6" i="80"/>
  <c r="I6" i="80"/>
  <c r="R2" i="80"/>
  <c r="Y106" i="79"/>
  <c r="T104" i="79"/>
  <c r="T103" i="79"/>
  <c r="X103" i="79" s="1"/>
  <c r="I103" i="79"/>
  <c r="T102" i="79"/>
  <c r="V102" i="79" s="1"/>
  <c r="V103" i="79" s="1"/>
  <c r="I102" i="79"/>
  <c r="I104" i="79" s="1"/>
  <c r="J104" i="79" s="1"/>
  <c r="G102" i="79"/>
  <c r="G103" i="79" s="1"/>
  <c r="I98" i="79"/>
  <c r="J98" i="79" s="1"/>
  <c r="E98" i="79"/>
  <c r="T97" i="79"/>
  <c r="I97" i="79"/>
  <c r="X96" i="79" s="1"/>
  <c r="E97" i="79"/>
  <c r="T96" i="79"/>
  <c r="T92" i="79"/>
  <c r="G92" i="79"/>
  <c r="V92" i="79" s="1"/>
  <c r="V91" i="79"/>
  <c r="T91" i="79"/>
  <c r="G91" i="79"/>
  <c r="T90" i="79"/>
  <c r="G90" i="79"/>
  <c r="V90" i="79" s="1"/>
  <c r="G87" i="79"/>
  <c r="V87" i="79" s="1"/>
  <c r="G86" i="79"/>
  <c r="V86" i="79" s="1"/>
  <c r="G85" i="79"/>
  <c r="V85" i="79" s="1"/>
  <c r="G84" i="79"/>
  <c r="V83" i="79" s="1"/>
  <c r="J82" i="79"/>
  <c r="Y81" i="79" s="1"/>
  <c r="X83" i="79" s="1"/>
  <c r="Y80" i="79"/>
  <c r="G72" i="79"/>
  <c r="V71" i="79" s="1"/>
  <c r="G71" i="79"/>
  <c r="V70" i="79" s="1"/>
  <c r="G70" i="79"/>
  <c r="V69" i="79" s="1"/>
  <c r="G68" i="79"/>
  <c r="V67" i="79" s="1"/>
  <c r="I65" i="79"/>
  <c r="X64" i="79" s="1"/>
  <c r="I62" i="79"/>
  <c r="X61" i="79" s="1"/>
  <c r="I59" i="79"/>
  <c r="X58" i="79" s="1"/>
  <c r="I56" i="79"/>
  <c r="X55" i="79" s="1"/>
  <c r="I53" i="79"/>
  <c r="X52" i="79" s="1"/>
  <c r="T50" i="79"/>
  <c r="D50" i="79"/>
  <c r="C50" i="79"/>
  <c r="I49" i="79"/>
  <c r="X49" i="79" s="1"/>
  <c r="Y49" i="79" s="1"/>
  <c r="X48" i="79"/>
  <c r="Y48" i="79" s="1"/>
  <c r="I48" i="79"/>
  <c r="I47" i="79"/>
  <c r="X47" i="79" s="1"/>
  <c r="Y47" i="79" s="1"/>
  <c r="I46" i="79"/>
  <c r="X46" i="79" s="1"/>
  <c r="Y46" i="79" s="1"/>
  <c r="I45" i="79"/>
  <c r="X45" i="79" s="1"/>
  <c r="Y45" i="79" s="1"/>
  <c r="I44" i="79"/>
  <c r="X44" i="79" s="1"/>
  <c r="Y44" i="79" s="1"/>
  <c r="I43" i="79"/>
  <c r="X43" i="79" s="1"/>
  <c r="Y43" i="79" s="1"/>
  <c r="I42" i="79"/>
  <c r="X42" i="79" s="1"/>
  <c r="Y42" i="79" s="1"/>
  <c r="I41" i="79"/>
  <c r="X41" i="79" s="1"/>
  <c r="Y41" i="79" s="1"/>
  <c r="Y37" i="79"/>
  <c r="J37" i="79"/>
  <c r="Y36" i="79"/>
  <c r="Y38" i="79" s="1"/>
  <c r="J36" i="79"/>
  <c r="G32" i="79"/>
  <c r="T31" i="79"/>
  <c r="V32" i="79" s="1"/>
  <c r="D28" i="79"/>
  <c r="E23" i="79" s="1"/>
  <c r="I23" i="79" s="1"/>
  <c r="C28" i="79"/>
  <c r="T27" i="79"/>
  <c r="X27" i="79" s="1"/>
  <c r="E27" i="79"/>
  <c r="I27" i="79" s="1"/>
  <c r="T26" i="79"/>
  <c r="X26" i="79" s="1"/>
  <c r="Y26" i="79" s="1"/>
  <c r="T25" i="79"/>
  <c r="X25" i="79" s="1"/>
  <c r="T24" i="79"/>
  <c r="X24" i="79" s="1"/>
  <c r="T23" i="79"/>
  <c r="X23" i="79" s="1"/>
  <c r="T22" i="79"/>
  <c r="X22" i="79" s="1"/>
  <c r="T21" i="79"/>
  <c r="X21" i="79" s="1"/>
  <c r="T20" i="79"/>
  <c r="X20" i="79" s="1"/>
  <c r="T19" i="79"/>
  <c r="X19" i="79" s="1"/>
  <c r="T18" i="79"/>
  <c r="X18" i="79" s="1"/>
  <c r="T17" i="79"/>
  <c r="X17" i="79" s="1"/>
  <c r="T16" i="79"/>
  <c r="X16" i="79" s="1"/>
  <c r="T15" i="79"/>
  <c r="X15" i="79" s="1"/>
  <c r="T14" i="79"/>
  <c r="X14" i="79" s="1"/>
  <c r="T13" i="79"/>
  <c r="T12" i="79"/>
  <c r="X12" i="79" s="1"/>
  <c r="I7" i="79"/>
  <c r="T6" i="79"/>
  <c r="I6" i="79"/>
  <c r="J31" i="79" s="1"/>
  <c r="Y31" i="79" s="1"/>
  <c r="Y32" i="79" s="1"/>
  <c r="R2" i="79"/>
  <c r="Y106" i="78"/>
  <c r="T104" i="78"/>
  <c r="T103" i="78"/>
  <c r="X103" i="78" s="1"/>
  <c r="I103" i="78"/>
  <c r="T102" i="78"/>
  <c r="V102" i="78" s="1"/>
  <c r="V103" i="78" s="1"/>
  <c r="I102" i="78"/>
  <c r="J102" i="78" s="1"/>
  <c r="G102" i="78"/>
  <c r="G103" i="78" s="1"/>
  <c r="I98" i="78"/>
  <c r="E98" i="78"/>
  <c r="T97" i="78"/>
  <c r="I97" i="78"/>
  <c r="X96" i="78" s="1"/>
  <c r="E97" i="78"/>
  <c r="T96" i="78"/>
  <c r="T92" i="78"/>
  <c r="G92" i="78"/>
  <c r="V92" i="78" s="1"/>
  <c r="D92" i="78"/>
  <c r="V91" i="78"/>
  <c r="T91" i="78"/>
  <c r="G91" i="78"/>
  <c r="T90" i="78"/>
  <c r="G90" i="78"/>
  <c r="V90" i="78" s="1"/>
  <c r="G87" i="78"/>
  <c r="G86" i="78"/>
  <c r="V86" i="78" s="1"/>
  <c r="G85" i="78"/>
  <c r="V85" i="78" s="1"/>
  <c r="G84" i="78"/>
  <c r="V83" i="78" s="1"/>
  <c r="J82" i="78"/>
  <c r="Y81" i="78" s="1"/>
  <c r="X83" i="78" s="1"/>
  <c r="J81" i="78"/>
  <c r="Y80" i="78"/>
  <c r="G72" i="78"/>
  <c r="G71" i="78"/>
  <c r="V70" i="78" s="1"/>
  <c r="G70" i="78"/>
  <c r="V69" i="78" s="1"/>
  <c r="G68" i="78"/>
  <c r="V67" i="78" s="1"/>
  <c r="I65" i="78"/>
  <c r="X64" i="78" s="1"/>
  <c r="I62" i="78"/>
  <c r="X61" i="78" s="1"/>
  <c r="I59" i="78"/>
  <c r="X58" i="78" s="1"/>
  <c r="I56" i="78"/>
  <c r="X55" i="78" s="1"/>
  <c r="I53" i="78"/>
  <c r="X52" i="78" s="1"/>
  <c r="T50" i="78"/>
  <c r="D50" i="78"/>
  <c r="E46" i="78" s="1"/>
  <c r="C50" i="78"/>
  <c r="I49" i="78"/>
  <c r="X49" i="78" s="1"/>
  <c r="Y49" i="78" s="1"/>
  <c r="I48" i="78"/>
  <c r="X48" i="78" s="1"/>
  <c r="Y48" i="78" s="1"/>
  <c r="I47" i="78"/>
  <c r="X47" i="78" s="1"/>
  <c r="Y47" i="78" s="1"/>
  <c r="I46" i="78"/>
  <c r="X46" i="78" s="1"/>
  <c r="Y46" i="78" s="1"/>
  <c r="I45" i="78"/>
  <c r="X45" i="78" s="1"/>
  <c r="Y45" i="78" s="1"/>
  <c r="I44" i="78"/>
  <c r="X44" i="78" s="1"/>
  <c r="Y44" i="78" s="1"/>
  <c r="I43" i="78"/>
  <c r="X43" i="78" s="1"/>
  <c r="Y43" i="78" s="1"/>
  <c r="I42" i="78"/>
  <c r="X42" i="78" s="1"/>
  <c r="Y42" i="78" s="1"/>
  <c r="I41" i="78"/>
  <c r="X41" i="78" s="1"/>
  <c r="Y41" i="78" s="1"/>
  <c r="Y50" i="78" s="1"/>
  <c r="Y37" i="78"/>
  <c r="J37" i="78"/>
  <c r="Y36" i="78"/>
  <c r="Y38" i="78" s="1"/>
  <c r="J36" i="78"/>
  <c r="J38" i="78" s="1"/>
  <c r="V32" i="78"/>
  <c r="G32" i="78"/>
  <c r="T31" i="78"/>
  <c r="D28" i="78"/>
  <c r="E23" i="78" s="1"/>
  <c r="I23" i="78" s="1"/>
  <c r="C28" i="78"/>
  <c r="T27" i="78"/>
  <c r="X27" i="78" s="1"/>
  <c r="T26" i="78"/>
  <c r="X26" i="78" s="1"/>
  <c r="T25" i="78"/>
  <c r="X25" i="78" s="1"/>
  <c r="T24" i="78"/>
  <c r="X24" i="78" s="1"/>
  <c r="Y24" i="78" s="1"/>
  <c r="T23" i="78"/>
  <c r="X23" i="78" s="1"/>
  <c r="T22" i="78"/>
  <c r="X22" i="78" s="1"/>
  <c r="T21" i="78"/>
  <c r="X21" i="78" s="1"/>
  <c r="Y21" i="78" s="1"/>
  <c r="E21" i="78"/>
  <c r="I21" i="78" s="1"/>
  <c r="J21" i="78" s="1"/>
  <c r="T20" i="78"/>
  <c r="X20" i="78" s="1"/>
  <c r="Y20" i="78" s="1"/>
  <c r="E20" i="78"/>
  <c r="I20" i="78" s="1"/>
  <c r="J20" i="78" s="1"/>
  <c r="T19" i="78"/>
  <c r="X19" i="78" s="1"/>
  <c r="Y19" i="78" s="1"/>
  <c r="T18" i="78"/>
  <c r="X18" i="78" s="1"/>
  <c r="Y18" i="78" s="1"/>
  <c r="E18" i="78"/>
  <c r="I18" i="78" s="1"/>
  <c r="J18" i="78" s="1"/>
  <c r="T17" i="78"/>
  <c r="X17" i="78" s="1"/>
  <c r="Y17" i="78" s="1"/>
  <c r="T16" i="78"/>
  <c r="X16" i="78" s="1"/>
  <c r="T15" i="78"/>
  <c r="X15" i="78" s="1"/>
  <c r="T14" i="78"/>
  <c r="X14" i="78" s="1"/>
  <c r="E14" i="78"/>
  <c r="I14" i="78" s="1"/>
  <c r="T13" i="78"/>
  <c r="X13" i="78" s="1"/>
  <c r="T12" i="78"/>
  <c r="X12" i="78" s="1"/>
  <c r="I7" i="78"/>
  <c r="T6" i="78"/>
  <c r="I6" i="78"/>
  <c r="J31" i="78" s="1"/>
  <c r="R2" i="78"/>
  <c r="Y106" i="77"/>
  <c r="T104" i="77"/>
  <c r="T103" i="77"/>
  <c r="X103" i="77" s="1"/>
  <c r="I103" i="77"/>
  <c r="T102" i="77"/>
  <c r="X102" i="77" s="1"/>
  <c r="I102" i="77"/>
  <c r="I104" i="77" s="1"/>
  <c r="J104" i="77" s="1"/>
  <c r="G102" i="77"/>
  <c r="G103" i="77" s="1"/>
  <c r="I98" i="77"/>
  <c r="J98" i="77" s="1"/>
  <c r="E98" i="77"/>
  <c r="T97" i="77"/>
  <c r="I97" i="77"/>
  <c r="X96" i="77" s="1"/>
  <c r="E97" i="77"/>
  <c r="T92" i="77"/>
  <c r="G92" i="77"/>
  <c r="V92" i="77" s="1"/>
  <c r="V91" i="77"/>
  <c r="T91" i="77"/>
  <c r="G91" i="77"/>
  <c r="T90" i="77"/>
  <c r="G90" i="77"/>
  <c r="V90" i="77" s="1"/>
  <c r="G87" i="77"/>
  <c r="V87" i="77" s="1"/>
  <c r="G86" i="77"/>
  <c r="V86" i="77" s="1"/>
  <c r="G85" i="77"/>
  <c r="V85" i="77" s="1"/>
  <c r="G84" i="77"/>
  <c r="J82" i="77"/>
  <c r="Y81" i="77" s="1"/>
  <c r="X83" i="77" s="1"/>
  <c r="Y80" i="77"/>
  <c r="G72" i="77"/>
  <c r="V71" i="77" s="1"/>
  <c r="G71" i="77"/>
  <c r="G70" i="77"/>
  <c r="V69" i="77" s="1"/>
  <c r="G68" i="77"/>
  <c r="V67" i="77" s="1"/>
  <c r="I65" i="77"/>
  <c r="X64" i="77" s="1"/>
  <c r="I62" i="77"/>
  <c r="X61" i="77" s="1"/>
  <c r="I59" i="77"/>
  <c r="X58" i="77" s="1"/>
  <c r="I56" i="77"/>
  <c r="X55" i="77" s="1"/>
  <c r="I53" i="77"/>
  <c r="X52" i="77" s="1"/>
  <c r="T50" i="77"/>
  <c r="D50" i="77"/>
  <c r="E46" i="77" s="1"/>
  <c r="C50" i="77"/>
  <c r="I49" i="77"/>
  <c r="X49" i="77" s="1"/>
  <c r="Y49" i="77" s="1"/>
  <c r="I48" i="77"/>
  <c r="X48" i="77" s="1"/>
  <c r="Y48" i="77" s="1"/>
  <c r="I47" i="77"/>
  <c r="X47" i="77" s="1"/>
  <c r="Y47" i="77" s="1"/>
  <c r="I46" i="77"/>
  <c r="X46" i="77" s="1"/>
  <c r="Y46" i="77" s="1"/>
  <c r="I45" i="77"/>
  <c r="X45" i="77" s="1"/>
  <c r="Y45" i="77" s="1"/>
  <c r="I44" i="77"/>
  <c r="X44" i="77" s="1"/>
  <c r="Y44" i="77" s="1"/>
  <c r="I43" i="77"/>
  <c r="X43" i="77" s="1"/>
  <c r="Y43" i="77" s="1"/>
  <c r="I42" i="77"/>
  <c r="X42" i="77" s="1"/>
  <c r="Y42" i="77" s="1"/>
  <c r="I41" i="77"/>
  <c r="X41" i="77" s="1"/>
  <c r="Y41" i="77" s="1"/>
  <c r="Y37" i="77"/>
  <c r="J37" i="77"/>
  <c r="Y36" i="77"/>
  <c r="J36" i="77"/>
  <c r="G32" i="77"/>
  <c r="T31" i="77"/>
  <c r="V32" i="77" s="1"/>
  <c r="D28" i="77"/>
  <c r="E23" i="77" s="1"/>
  <c r="C28" i="77"/>
  <c r="E24" i="77"/>
  <c r="T24" i="77" s="1"/>
  <c r="X24" i="77" s="1"/>
  <c r="I7" i="77"/>
  <c r="T6" i="77"/>
  <c r="I6" i="77"/>
  <c r="J31" i="77" s="1"/>
  <c r="R2" i="77"/>
  <c r="J97" i="76"/>
  <c r="Y106" i="76"/>
  <c r="T104" i="76"/>
  <c r="I104" i="76"/>
  <c r="J104" i="76" s="1"/>
  <c r="T103" i="76"/>
  <c r="X103" i="76" s="1"/>
  <c r="I103" i="76"/>
  <c r="T102" i="76"/>
  <c r="V102" i="76" s="1"/>
  <c r="V103" i="76" s="1"/>
  <c r="I102" i="76"/>
  <c r="G102" i="76"/>
  <c r="G103" i="76" s="1"/>
  <c r="I98" i="76"/>
  <c r="J98" i="76" s="1"/>
  <c r="E98" i="76"/>
  <c r="T97" i="76"/>
  <c r="I97" i="76"/>
  <c r="X96" i="76" s="1"/>
  <c r="E97" i="76"/>
  <c r="T96" i="76"/>
  <c r="T92" i="76"/>
  <c r="G92" i="76"/>
  <c r="V92" i="76" s="1"/>
  <c r="T91" i="76"/>
  <c r="G91" i="76"/>
  <c r="V91" i="76" s="1"/>
  <c r="T90" i="76"/>
  <c r="G90" i="76"/>
  <c r="V90" i="76" s="1"/>
  <c r="G87" i="76"/>
  <c r="V87" i="76" s="1"/>
  <c r="G86" i="76"/>
  <c r="V86" i="76" s="1"/>
  <c r="G85" i="76"/>
  <c r="G84" i="76"/>
  <c r="V83" i="76" s="1"/>
  <c r="J82" i="76"/>
  <c r="Y81" i="76" s="1"/>
  <c r="X83" i="76" s="1"/>
  <c r="J81" i="76"/>
  <c r="Y80" i="76"/>
  <c r="G72" i="76"/>
  <c r="G71" i="76"/>
  <c r="G70" i="76"/>
  <c r="G68" i="76"/>
  <c r="V67" i="76" s="1"/>
  <c r="I65" i="76"/>
  <c r="X64" i="76" s="1"/>
  <c r="I62" i="76"/>
  <c r="X61" i="76" s="1"/>
  <c r="I59" i="76"/>
  <c r="X58" i="76" s="1"/>
  <c r="I56" i="76"/>
  <c r="X55" i="76" s="1"/>
  <c r="I53" i="76"/>
  <c r="X52" i="76" s="1"/>
  <c r="T50" i="76"/>
  <c r="D50" i="76"/>
  <c r="E46" i="76" s="1"/>
  <c r="J46" i="76" s="1"/>
  <c r="C50" i="76"/>
  <c r="I49" i="76"/>
  <c r="X49" i="76" s="1"/>
  <c r="Y49" i="76" s="1"/>
  <c r="I48" i="76"/>
  <c r="X48" i="76" s="1"/>
  <c r="Y48" i="76" s="1"/>
  <c r="I47" i="76"/>
  <c r="X47" i="76" s="1"/>
  <c r="Y47" i="76" s="1"/>
  <c r="I46" i="76"/>
  <c r="X46" i="76" s="1"/>
  <c r="Y46" i="76" s="1"/>
  <c r="I45" i="76"/>
  <c r="X45" i="76" s="1"/>
  <c r="Y45" i="76" s="1"/>
  <c r="I44" i="76"/>
  <c r="X44" i="76" s="1"/>
  <c r="Y44" i="76" s="1"/>
  <c r="I43" i="76"/>
  <c r="X43" i="76" s="1"/>
  <c r="Y43" i="76" s="1"/>
  <c r="I42" i="76"/>
  <c r="X42" i="76" s="1"/>
  <c r="Y42" i="76" s="1"/>
  <c r="I41" i="76"/>
  <c r="X41" i="76" s="1"/>
  <c r="Y41" i="76" s="1"/>
  <c r="Y37" i="76"/>
  <c r="Y36" i="76"/>
  <c r="Y38" i="76" s="1"/>
  <c r="J36" i="76"/>
  <c r="J38" i="76" s="1"/>
  <c r="G32" i="76"/>
  <c r="T31" i="76"/>
  <c r="V32" i="76" s="1"/>
  <c r="D28" i="76"/>
  <c r="E23" i="76" s="1"/>
  <c r="I23" i="76" s="1"/>
  <c r="C28" i="76"/>
  <c r="I7" i="76"/>
  <c r="T6" i="76"/>
  <c r="I6" i="76"/>
  <c r="J31" i="76" s="1"/>
  <c r="R2" i="76"/>
  <c r="Y106" i="75"/>
  <c r="T104" i="75"/>
  <c r="T103" i="75"/>
  <c r="X103" i="75" s="1"/>
  <c r="I103" i="75"/>
  <c r="T102" i="75"/>
  <c r="V102" i="75" s="1"/>
  <c r="V103" i="75" s="1"/>
  <c r="I102" i="75"/>
  <c r="J102" i="75" s="1"/>
  <c r="G102" i="75"/>
  <c r="G103" i="75" s="1"/>
  <c r="I98" i="75"/>
  <c r="X97" i="75" s="1"/>
  <c r="E98" i="75"/>
  <c r="T97" i="75"/>
  <c r="I97" i="75"/>
  <c r="X96" i="75" s="1"/>
  <c r="E97" i="75"/>
  <c r="T96" i="75"/>
  <c r="T92" i="75"/>
  <c r="G92" i="75"/>
  <c r="V92" i="75" s="1"/>
  <c r="D92" i="75"/>
  <c r="T91" i="75"/>
  <c r="G91" i="75"/>
  <c r="V91" i="75" s="1"/>
  <c r="T90" i="75"/>
  <c r="G90" i="75"/>
  <c r="V90" i="75" s="1"/>
  <c r="G87" i="75"/>
  <c r="G86" i="75"/>
  <c r="V86" i="75" s="1"/>
  <c r="G85" i="75"/>
  <c r="G84" i="75"/>
  <c r="J82" i="75"/>
  <c r="J81" i="75"/>
  <c r="Y80" i="75"/>
  <c r="G72" i="75"/>
  <c r="G71" i="75"/>
  <c r="G70" i="75"/>
  <c r="G68" i="75"/>
  <c r="V67" i="75" s="1"/>
  <c r="I65" i="75"/>
  <c r="X64" i="75" s="1"/>
  <c r="I62" i="75"/>
  <c r="X61" i="75" s="1"/>
  <c r="I59" i="75"/>
  <c r="X58" i="75" s="1"/>
  <c r="I56" i="75"/>
  <c r="X55" i="75" s="1"/>
  <c r="I53" i="75"/>
  <c r="X52" i="75" s="1"/>
  <c r="T50" i="75"/>
  <c r="D50" i="75"/>
  <c r="E46" i="75" s="1"/>
  <c r="C50" i="75"/>
  <c r="I49" i="75"/>
  <c r="X49" i="75" s="1"/>
  <c r="Y49" i="75" s="1"/>
  <c r="I48" i="75"/>
  <c r="X48" i="75" s="1"/>
  <c r="Y48" i="75" s="1"/>
  <c r="I47" i="75"/>
  <c r="X47" i="75" s="1"/>
  <c r="Y47" i="75" s="1"/>
  <c r="E47" i="75"/>
  <c r="I46" i="75"/>
  <c r="X46" i="75" s="1"/>
  <c r="Y46" i="75" s="1"/>
  <c r="I45" i="75"/>
  <c r="X45" i="75" s="1"/>
  <c r="Y45" i="75" s="1"/>
  <c r="I44" i="75"/>
  <c r="X44" i="75" s="1"/>
  <c r="Y44" i="75" s="1"/>
  <c r="I43" i="75"/>
  <c r="X43" i="75" s="1"/>
  <c r="Y43" i="75" s="1"/>
  <c r="E43" i="75"/>
  <c r="I42" i="75"/>
  <c r="X42" i="75" s="1"/>
  <c r="Y42" i="75" s="1"/>
  <c r="I41" i="75"/>
  <c r="X41" i="75" s="1"/>
  <c r="Y41" i="75" s="1"/>
  <c r="Y50" i="75" s="1"/>
  <c r="Y37" i="75"/>
  <c r="J37" i="75"/>
  <c r="Y36" i="75"/>
  <c r="Y38" i="75" s="1"/>
  <c r="J36" i="75"/>
  <c r="J38" i="75" s="1"/>
  <c r="G32" i="75"/>
  <c r="T31" i="75"/>
  <c r="V32" i="75" s="1"/>
  <c r="D28" i="75"/>
  <c r="E23" i="75" s="1"/>
  <c r="I23" i="75" s="1"/>
  <c r="C28" i="75"/>
  <c r="T27" i="75"/>
  <c r="X27" i="75" s="1"/>
  <c r="E27" i="75"/>
  <c r="I27" i="75" s="1"/>
  <c r="T26" i="75"/>
  <c r="X26" i="75" s="1"/>
  <c r="T25" i="75"/>
  <c r="X25" i="75" s="1"/>
  <c r="T24" i="75"/>
  <c r="X24" i="75" s="1"/>
  <c r="E24" i="75"/>
  <c r="I24" i="75" s="1"/>
  <c r="J24" i="75" s="1"/>
  <c r="T23" i="75"/>
  <c r="X23" i="75" s="1"/>
  <c r="Y23" i="75" s="1"/>
  <c r="T22" i="75"/>
  <c r="X22" i="75" s="1"/>
  <c r="Y22" i="75" s="1"/>
  <c r="T21" i="75"/>
  <c r="X21" i="75" s="1"/>
  <c r="Y21" i="75" s="1"/>
  <c r="T20" i="75"/>
  <c r="X20" i="75" s="1"/>
  <c r="Y20" i="75" s="1"/>
  <c r="E20" i="75"/>
  <c r="I20" i="75" s="1"/>
  <c r="J20" i="75" s="1"/>
  <c r="T19" i="75"/>
  <c r="X19" i="75" s="1"/>
  <c r="Y19" i="75" s="1"/>
  <c r="T18" i="75"/>
  <c r="X18" i="75" s="1"/>
  <c r="Y18" i="75" s="1"/>
  <c r="E18" i="75"/>
  <c r="I18" i="75" s="1"/>
  <c r="J18" i="75" s="1"/>
  <c r="T17" i="75"/>
  <c r="X17" i="75" s="1"/>
  <c r="Y17" i="75" s="1"/>
  <c r="E17" i="75"/>
  <c r="I17" i="75" s="1"/>
  <c r="J17" i="75" s="1"/>
  <c r="T16" i="75"/>
  <c r="X16" i="75" s="1"/>
  <c r="T15" i="75"/>
  <c r="X15" i="75" s="1"/>
  <c r="Y15" i="75" s="1"/>
  <c r="T14" i="75"/>
  <c r="X14" i="75" s="1"/>
  <c r="E14" i="75"/>
  <c r="I14" i="75" s="1"/>
  <c r="T13" i="75"/>
  <c r="T12" i="75"/>
  <c r="X12" i="75" s="1"/>
  <c r="I7" i="75"/>
  <c r="T6" i="75"/>
  <c r="I6" i="75"/>
  <c r="J31" i="75" s="1"/>
  <c r="R2" i="75"/>
  <c r="Y106" i="74"/>
  <c r="T104" i="74"/>
  <c r="T103" i="74"/>
  <c r="X103" i="74" s="1"/>
  <c r="I103" i="74"/>
  <c r="T102" i="74"/>
  <c r="X102" i="74" s="1"/>
  <c r="I102" i="74"/>
  <c r="I104" i="74" s="1"/>
  <c r="J104" i="74" s="1"/>
  <c r="G102" i="74"/>
  <c r="G103" i="74" s="1"/>
  <c r="J103" i="74" s="1"/>
  <c r="I98" i="74"/>
  <c r="X97" i="74" s="1"/>
  <c r="Y97" i="74" s="1"/>
  <c r="E98" i="74"/>
  <c r="T97" i="74"/>
  <c r="I97" i="74"/>
  <c r="X96" i="74" s="1"/>
  <c r="E97" i="74"/>
  <c r="T96" i="74"/>
  <c r="T92" i="74"/>
  <c r="G92" i="74"/>
  <c r="V92" i="74" s="1"/>
  <c r="T91" i="74"/>
  <c r="G91" i="74"/>
  <c r="V91" i="74" s="1"/>
  <c r="T90" i="74"/>
  <c r="G90" i="74"/>
  <c r="V90" i="74" s="1"/>
  <c r="G87" i="74"/>
  <c r="G86" i="74"/>
  <c r="V86" i="74" s="1"/>
  <c r="G85" i="74"/>
  <c r="V85" i="74" s="1"/>
  <c r="G84" i="74"/>
  <c r="J82" i="74"/>
  <c r="Y81" i="74" s="1"/>
  <c r="Y80" i="74"/>
  <c r="G72" i="74"/>
  <c r="G71" i="74"/>
  <c r="G70" i="74"/>
  <c r="V69" i="74" s="1"/>
  <c r="G68" i="74"/>
  <c r="V67" i="74" s="1"/>
  <c r="I65" i="74"/>
  <c r="X64" i="74" s="1"/>
  <c r="I62" i="74"/>
  <c r="X61" i="74" s="1"/>
  <c r="I59" i="74"/>
  <c r="X58" i="74" s="1"/>
  <c r="I56" i="74"/>
  <c r="X55" i="74" s="1"/>
  <c r="I53" i="74"/>
  <c r="X52" i="74" s="1"/>
  <c r="T50" i="74"/>
  <c r="D50" i="74"/>
  <c r="E46" i="74" s="1"/>
  <c r="C50" i="74"/>
  <c r="I49" i="74"/>
  <c r="X49" i="74" s="1"/>
  <c r="Y49" i="74" s="1"/>
  <c r="I48" i="74"/>
  <c r="X48" i="74" s="1"/>
  <c r="Y48" i="74" s="1"/>
  <c r="I47" i="74"/>
  <c r="X47" i="74" s="1"/>
  <c r="Y47" i="74" s="1"/>
  <c r="I46" i="74"/>
  <c r="X46" i="74" s="1"/>
  <c r="Y46" i="74" s="1"/>
  <c r="I45" i="74"/>
  <c r="X45" i="74" s="1"/>
  <c r="Y45" i="74" s="1"/>
  <c r="I44" i="74"/>
  <c r="X44" i="74" s="1"/>
  <c r="Y44" i="74" s="1"/>
  <c r="I43" i="74"/>
  <c r="X43" i="74" s="1"/>
  <c r="Y43" i="74" s="1"/>
  <c r="I42" i="74"/>
  <c r="X42" i="74" s="1"/>
  <c r="Y42" i="74" s="1"/>
  <c r="I41" i="74"/>
  <c r="X41" i="74" s="1"/>
  <c r="Y41" i="74" s="1"/>
  <c r="Y37" i="74"/>
  <c r="J37" i="74"/>
  <c r="Y36" i="74"/>
  <c r="J36" i="74"/>
  <c r="G32" i="74"/>
  <c r="T31" i="74"/>
  <c r="V32" i="74" s="1"/>
  <c r="D28" i="74"/>
  <c r="E23" i="74" s="1"/>
  <c r="I23" i="74" s="1"/>
  <c r="C28" i="74"/>
  <c r="T27" i="74"/>
  <c r="X27" i="74" s="1"/>
  <c r="T26" i="74"/>
  <c r="X26" i="74" s="1"/>
  <c r="T25" i="74"/>
  <c r="X25" i="74" s="1"/>
  <c r="T24" i="74"/>
  <c r="X24" i="74" s="1"/>
  <c r="Y24" i="74" s="1"/>
  <c r="E24" i="74"/>
  <c r="I24" i="74" s="1"/>
  <c r="J24" i="74" s="1"/>
  <c r="T23" i="74"/>
  <c r="X23" i="74" s="1"/>
  <c r="Y23" i="74" s="1"/>
  <c r="T22" i="74"/>
  <c r="X22" i="74" s="1"/>
  <c r="T21" i="74"/>
  <c r="X21" i="74" s="1"/>
  <c r="T20" i="74"/>
  <c r="X20" i="74" s="1"/>
  <c r="E20" i="74"/>
  <c r="I20" i="74" s="1"/>
  <c r="T19" i="74"/>
  <c r="X19" i="74" s="1"/>
  <c r="T18" i="74"/>
  <c r="X18" i="74" s="1"/>
  <c r="T17" i="74"/>
  <c r="X17" i="74" s="1"/>
  <c r="T16" i="74"/>
  <c r="X16" i="74" s="1"/>
  <c r="T15" i="74"/>
  <c r="X15" i="74" s="1"/>
  <c r="T14" i="74"/>
  <c r="X14" i="74" s="1"/>
  <c r="T13" i="74"/>
  <c r="T12" i="74"/>
  <c r="X12" i="74" s="1"/>
  <c r="I7" i="74"/>
  <c r="T6" i="74"/>
  <c r="I6" i="74"/>
  <c r="J31" i="74" s="1"/>
  <c r="R2" i="74"/>
  <c r="Y106" i="73"/>
  <c r="T104" i="73"/>
  <c r="T103" i="73"/>
  <c r="X103" i="73" s="1"/>
  <c r="I103" i="73"/>
  <c r="T102" i="73"/>
  <c r="V102" i="73" s="1"/>
  <c r="V103" i="73" s="1"/>
  <c r="I102" i="73"/>
  <c r="I104" i="73" s="1"/>
  <c r="J104" i="73" s="1"/>
  <c r="G102" i="73"/>
  <c r="G103" i="73" s="1"/>
  <c r="I98" i="73"/>
  <c r="J98" i="73" s="1"/>
  <c r="E98" i="73"/>
  <c r="T97" i="73"/>
  <c r="I97" i="73"/>
  <c r="X96" i="73" s="1"/>
  <c r="E97" i="73"/>
  <c r="T96" i="73"/>
  <c r="T92" i="73"/>
  <c r="G92" i="73"/>
  <c r="V92" i="73" s="1"/>
  <c r="D92" i="73"/>
  <c r="T91" i="73"/>
  <c r="G91" i="73"/>
  <c r="V91" i="73" s="1"/>
  <c r="T90" i="73"/>
  <c r="G90" i="73"/>
  <c r="V90" i="73" s="1"/>
  <c r="G87" i="73"/>
  <c r="V87" i="73" s="1"/>
  <c r="G86" i="73"/>
  <c r="G85" i="73"/>
  <c r="V85" i="73" s="1"/>
  <c r="G84" i="73"/>
  <c r="J82" i="73"/>
  <c r="Y81" i="73" s="1"/>
  <c r="J81" i="73"/>
  <c r="Y80" i="73"/>
  <c r="X83" i="73" s="1"/>
  <c r="G72" i="73"/>
  <c r="G71" i="73"/>
  <c r="G70" i="73"/>
  <c r="G68" i="73"/>
  <c r="V67" i="73"/>
  <c r="I65" i="73"/>
  <c r="X64" i="73" s="1"/>
  <c r="I62" i="73"/>
  <c r="X61" i="73" s="1"/>
  <c r="I59" i="73"/>
  <c r="X58" i="73" s="1"/>
  <c r="I56" i="73"/>
  <c r="X55" i="73" s="1"/>
  <c r="I53" i="73"/>
  <c r="X52" i="73" s="1"/>
  <c r="T50" i="73"/>
  <c r="D50" i="73"/>
  <c r="E46" i="73" s="1"/>
  <c r="C50" i="73"/>
  <c r="I49" i="73"/>
  <c r="X49" i="73" s="1"/>
  <c r="Y49" i="73" s="1"/>
  <c r="I48" i="73"/>
  <c r="X48" i="73" s="1"/>
  <c r="Y48" i="73" s="1"/>
  <c r="I47" i="73"/>
  <c r="X47" i="73" s="1"/>
  <c r="Y47" i="73" s="1"/>
  <c r="I46" i="73"/>
  <c r="X46" i="73" s="1"/>
  <c r="Y46" i="73" s="1"/>
  <c r="I45" i="73"/>
  <c r="X45" i="73" s="1"/>
  <c r="Y45" i="73" s="1"/>
  <c r="I44" i="73"/>
  <c r="X44" i="73" s="1"/>
  <c r="Y44" i="73" s="1"/>
  <c r="I43" i="73"/>
  <c r="X43" i="73" s="1"/>
  <c r="Y43" i="73" s="1"/>
  <c r="I42" i="73"/>
  <c r="X42" i="73" s="1"/>
  <c r="Y42" i="73" s="1"/>
  <c r="I41" i="73"/>
  <c r="X41" i="73" s="1"/>
  <c r="Y41" i="73" s="1"/>
  <c r="Y37" i="73"/>
  <c r="J37" i="73"/>
  <c r="Y36" i="73"/>
  <c r="Y38" i="73" s="1"/>
  <c r="J36" i="73"/>
  <c r="V32" i="73"/>
  <c r="G32" i="73"/>
  <c r="T31" i="73"/>
  <c r="D28" i="73"/>
  <c r="E23" i="73" s="1"/>
  <c r="I23" i="73" s="1"/>
  <c r="C28" i="73"/>
  <c r="T27" i="73"/>
  <c r="X27" i="73" s="1"/>
  <c r="T26" i="73"/>
  <c r="X26" i="73" s="1"/>
  <c r="T25" i="73"/>
  <c r="X25" i="73" s="1"/>
  <c r="T24" i="73"/>
  <c r="X24" i="73" s="1"/>
  <c r="E24" i="73"/>
  <c r="I24" i="73" s="1"/>
  <c r="J24" i="73" s="1"/>
  <c r="T23" i="73"/>
  <c r="X23" i="73" s="1"/>
  <c r="Y23" i="73" s="1"/>
  <c r="T22" i="73"/>
  <c r="X22" i="73" s="1"/>
  <c r="Y22" i="73" s="1"/>
  <c r="T21" i="73"/>
  <c r="X21" i="73" s="1"/>
  <c r="Y21" i="73" s="1"/>
  <c r="T20" i="73"/>
  <c r="X20" i="73" s="1"/>
  <c r="Y20" i="73" s="1"/>
  <c r="T19" i="73"/>
  <c r="X19" i="73" s="1"/>
  <c r="Y19" i="73" s="1"/>
  <c r="T18" i="73"/>
  <c r="X18" i="73" s="1"/>
  <c r="Y18" i="73" s="1"/>
  <c r="T17" i="73"/>
  <c r="X17" i="73" s="1"/>
  <c r="Y17" i="73" s="1"/>
  <c r="T16" i="73"/>
  <c r="X16" i="73" s="1"/>
  <c r="T15" i="73"/>
  <c r="T14" i="73"/>
  <c r="X14" i="73" s="1"/>
  <c r="E14" i="73"/>
  <c r="I14" i="73" s="1"/>
  <c r="T13" i="73"/>
  <c r="X13" i="73" s="1"/>
  <c r="T12" i="73"/>
  <c r="X12" i="73" s="1"/>
  <c r="I7" i="73"/>
  <c r="T6" i="73"/>
  <c r="I6" i="73"/>
  <c r="J31" i="73" s="1"/>
  <c r="R2" i="73"/>
  <c r="Y106" i="72"/>
  <c r="T104" i="72"/>
  <c r="T103" i="72"/>
  <c r="X103" i="72" s="1"/>
  <c r="I103" i="72"/>
  <c r="T102" i="72"/>
  <c r="V102" i="72" s="1"/>
  <c r="V103" i="72" s="1"/>
  <c r="I102" i="72"/>
  <c r="I104" i="72" s="1"/>
  <c r="J104" i="72" s="1"/>
  <c r="G102" i="72"/>
  <c r="G103" i="72" s="1"/>
  <c r="I98" i="72"/>
  <c r="X97" i="72" s="1"/>
  <c r="Y97" i="72" s="1"/>
  <c r="E98" i="72"/>
  <c r="T97" i="72"/>
  <c r="I97" i="72"/>
  <c r="X96" i="72" s="1"/>
  <c r="E97" i="72"/>
  <c r="T96" i="72"/>
  <c r="T92" i="72"/>
  <c r="G92" i="72"/>
  <c r="V92" i="72" s="1"/>
  <c r="T91" i="72"/>
  <c r="G91" i="72"/>
  <c r="V91" i="72" s="1"/>
  <c r="T90" i="72"/>
  <c r="G90" i="72"/>
  <c r="V90" i="72" s="1"/>
  <c r="G87" i="72"/>
  <c r="G86" i="72"/>
  <c r="V86" i="72" s="1"/>
  <c r="G85" i="72"/>
  <c r="G84" i="72"/>
  <c r="V83" i="72" s="1"/>
  <c r="J82" i="72"/>
  <c r="Y81" i="72" s="1"/>
  <c r="J81" i="72"/>
  <c r="Y80" i="72"/>
  <c r="G72" i="72"/>
  <c r="G71" i="72"/>
  <c r="V70" i="72" s="1"/>
  <c r="G70" i="72"/>
  <c r="V69" i="72" s="1"/>
  <c r="G68" i="72"/>
  <c r="V67" i="72" s="1"/>
  <c r="I65" i="72"/>
  <c r="X64" i="72" s="1"/>
  <c r="I62" i="72"/>
  <c r="X61" i="72" s="1"/>
  <c r="I59" i="72"/>
  <c r="X58" i="72" s="1"/>
  <c r="I56" i="72"/>
  <c r="X55" i="72" s="1"/>
  <c r="I53" i="72"/>
  <c r="X52" i="72" s="1"/>
  <c r="T50" i="72"/>
  <c r="D50" i="72"/>
  <c r="E46" i="72" s="1"/>
  <c r="C50" i="72"/>
  <c r="I49" i="72"/>
  <c r="X49" i="72" s="1"/>
  <c r="Y49" i="72" s="1"/>
  <c r="I48" i="72"/>
  <c r="X48" i="72" s="1"/>
  <c r="Y48" i="72" s="1"/>
  <c r="I47" i="72"/>
  <c r="X47" i="72" s="1"/>
  <c r="Y47" i="72" s="1"/>
  <c r="I46" i="72"/>
  <c r="X46" i="72" s="1"/>
  <c r="Y46" i="72" s="1"/>
  <c r="I45" i="72"/>
  <c r="X45" i="72" s="1"/>
  <c r="Y45" i="72" s="1"/>
  <c r="I44" i="72"/>
  <c r="X44" i="72" s="1"/>
  <c r="Y44" i="72" s="1"/>
  <c r="I43" i="72"/>
  <c r="X43" i="72" s="1"/>
  <c r="Y43" i="72" s="1"/>
  <c r="E43" i="72"/>
  <c r="I42" i="72"/>
  <c r="X42" i="72" s="1"/>
  <c r="Y42" i="72" s="1"/>
  <c r="I41" i="72"/>
  <c r="X41" i="72" s="1"/>
  <c r="Y41" i="72" s="1"/>
  <c r="Y37" i="72"/>
  <c r="J37" i="72"/>
  <c r="Y36" i="72"/>
  <c r="Y38" i="72" s="1"/>
  <c r="J36" i="72"/>
  <c r="J38" i="72" s="1"/>
  <c r="G32" i="72"/>
  <c r="T31" i="72"/>
  <c r="V32" i="72" s="1"/>
  <c r="D28" i="72"/>
  <c r="E23" i="72" s="1"/>
  <c r="I23" i="72" s="1"/>
  <c r="C28" i="72"/>
  <c r="T27" i="72"/>
  <c r="X27" i="72" s="1"/>
  <c r="E27" i="72"/>
  <c r="I27" i="72" s="1"/>
  <c r="T26" i="72"/>
  <c r="X26" i="72" s="1"/>
  <c r="T25" i="72"/>
  <c r="X25" i="72" s="1"/>
  <c r="T24" i="72"/>
  <c r="X24" i="72" s="1"/>
  <c r="E24" i="72"/>
  <c r="I24" i="72" s="1"/>
  <c r="T23" i="72"/>
  <c r="X23" i="72" s="1"/>
  <c r="Y23" i="72" s="1"/>
  <c r="T22" i="72"/>
  <c r="X22" i="72" s="1"/>
  <c r="Y22" i="72" s="1"/>
  <c r="T21" i="72"/>
  <c r="X21" i="72" s="1"/>
  <c r="Y21" i="72" s="1"/>
  <c r="E21" i="72"/>
  <c r="I21" i="72" s="1"/>
  <c r="J21" i="72" s="1"/>
  <c r="T20" i="72"/>
  <c r="X20" i="72" s="1"/>
  <c r="T19" i="72"/>
  <c r="X19" i="72" s="1"/>
  <c r="T18" i="72"/>
  <c r="X18" i="72" s="1"/>
  <c r="T17" i="72"/>
  <c r="X17" i="72" s="1"/>
  <c r="T16" i="72"/>
  <c r="X16" i="72" s="1"/>
  <c r="T15" i="72"/>
  <c r="X15" i="72" s="1"/>
  <c r="T14" i="72"/>
  <c r="X14" i="72" s="1"/>
  <c r="E14" i="72"/>
  <c r="I14" i="72" s="1"/>
  <c r="T13" i="72"/>
  <c r="T12" i="72"/>
  <c r="X12" i="72" s="1"/>
  <c r="I7" i="72"/>
  <c r="T6" i="72"/>
  <c r="I6" i="72"/>
  <c r="J31" i="72" s="1"/>
  <c r="R2" i="72"/>
  <c r="Y106" i="71"/>
  <c r="T104" i="71"/>
  <c r="I104" i="71"/>
  <c r="J104" i="71" s="1"/>
  <c r="X103" i="71"/>
  <c r="T103" i="71"/>
  <c r="I103" i="71"/>
  <c r="T102" i="71"/>
  <c r="V102" i="71" s="1"/>
  <c r="V103" i="71" s="1"/>
  <c r="Y103" i="71" s="1"/>
  <c r="I102" i="71"/>
  <c r="G102" i="71"/>
  <c r="G103" i="71" s="1"/>
  <c r="I98" i="71"/>
  <c r="E98" i="71"/>
  <c r="X97" i="71"/>
  <c r="T97" i="71"/>
  <c r="I97" i="71"/>
  <c r="X96" i="71" s="1"/>
  <c r="E97" i="71"/>
  <c r="T96" i="71"/>
  <c r="T92" i="71"/>
  <c r="G92" i="71"/>
  <c r="V92" i="71" s="1"/>
  <c r="D92" i="71"/>
  <c r="T91" i="71"/>
  <c r="G91" i="71"/>
  <c r="V91" i="71" s="1"/>
  <c r="T90" i="71"/>
  <c r="G90" i="71"/>
  <c r="V90" i="71" s="1"/>
  <c r="G87" i="71"/>
  <c r="G86" i="71"/>
  <c r="V86" i="71" s="1"/>
  <c r="G85" i="71"/>
  <c r="G84" i="71"/>
  <c r="V83" i="71" s="1"/>
  <c r="J82" i="71"/>
  <c r="Y81" i="71" s="1"/>
  <c r="X83" i="71" s="1"/>
  <c r="J81" i="71"/>
  <c r="Y80" i="71"/>
  <c r="G72" i="71"/>
  <c r="V71" i="71" s="1"/>
  <c r="G71" i="71"/>
  <c r="V70" i="71" s="1"/>
  <c r="G70" i="71"/>
  <c r="V69" i="71"/>
  <c r="G68" i="71"/>
  <c r="V67" i="71" s="1"/>
  <c r="I65" i="71"/>
  <c r="X64" i="71" s="1"/>
  <c r="I62" i="71"/>
  <c r="X61" i="71" s="1"/>
  <c r="I59" i="71"/>
  <c r="X58" i="71" s="1"/>
  <c r="I56" i="71"/>
  <c r="X55" i="71" s="1"/>
  <c r="I53" i="71"/>
  <c r="X52" i="71" s="1"/>
  <c r="T50" i="71"/>
  <c r="D50" i="71"/>
  <c r="C50" i="71"/>
  <c r="I49" i="71"/>
  <c r="X49" i="71" s="1"/>
  <c r="Y49" i="71" s="1"/>
  <c r="I48" i="71"/>
  <c r="X48" i="71" s="1"/>
  <c r="Y48" i="71" s="1"/>
  <c r="I47" i="71"/>
  <c r="X47" i="71" s="1"/>
  <c r="Y47" i="71" s="1"/>
  <c r="I46" i="71"/>
  <c r="X46" i="71" s="1"/>
  <c r="Y46" i="71" s="1"/>
  <c r="I45" i="71"/>
  <c r="X45" i="71" s="1"/>
  <c r="Y45" i="71" s="1"/>
  <c r="I44" i="71"/>
  <c r="X44" i="71" s="1"/>
  <c r="Y44" i="71" s="1"/>
  <c r="I43" i="71"/>
  <c r="X43" i="71" s="1"/>
  <c r="Y43" i="71" s="1"/>
  <c r="I42" i="71"/>
  <c r="X42" i="71" s="1"/>
  <c r="Y42" i="71" s="1"/>
  <c r="I41" i="71"/>
  <c r="X41" i="71" s="1"/>
  <c r="Y41" i="71" s="1"/>
  <c r="Y37" i="71"/>
  <c r="J37" i="71"/>
  <c r="Y36" i="71"/>
  <c r="Y38" i="71" s="1"/>
  <c r="J36" i="71"/>
  <c r="V32" i="71"/>
  <c r="G32" i="71"/>
  <c r="T31" i="71"/>
  <c r="D28" i="71"/>
  <c r="E23" i="71" s="1"/>
  <c r="I23" i="71" s="1"/>
  <c r="J23" i="71" s="1"/>
  <c r="C28" i="71"/>
  <c r="T27" i="71"/>
  <c r="X27" i="71" s="1"/>
  <c r="T26" i="71"/>
  <c r="X26" i="71" s="1"/>
  <c r="Y26" i="71" s="1"/>
  <c r="T25" i="71"/>
  <c r="X25" i="71" s="1"/>
  <c r="Y25" i="71" s="1"/>
  <c r="T24" i="71"/>
  <c r="X24" i="71" s="1"/>
  <c r="Y24" i="71" s="1"/>
  <c r="T23" i="71"/>
  <c r="X23" i="71" s="1"/>
  <c r="Y23" i="71" s="1"/>
  <c r="T22" i="71"/>
  <c r="X22" i="71" s="1"/>
  <c r="Y22" i="71" s="1"/>
  <c r="T21" i="71"/>
  <c r="X21" i="71" s="1"/>
  <c r="Y21" i="71" s="1"/>
  <c r="T20" i="71"/>
  <c r="X20" i="71" s="1"/>
  <c r="T19" i="71"/>
  <c r="X19" i="71" s="1"/>
  <c r="Y19" i="71" s="1"/>
  <c r="T18" i="71"/>
  <c r="X18" i="71" s="1"/>
  <c r="T17" i="71"/>
  <c r="X17" i="71" s="1"/>
  <c r="Y17" i="71" s="1"/>
  <c r="E17" i="71"/>
  <c r="I17" i="71" s="1"/>
  <c r="J17" i="71" s="1"/>
  <c r="T16" i="71"/>
  <c r="X16" i="71" s="1"/>
  <c r="T15" i="71"/>
  <c r="X15" i="71" s="1"/>
  <c r="Y15" i="71" s="1"/>
  <c r="T14" i="71"/>
  <c r="X14" i="71" s="1"/>
  <c r="T13" i="71"/>
  <c r="T12" i="71"/>
  <c r="X12" i="71" s="1"/>
  <c r="I7" i="71"/>
  <c r="T6" i="71"/>
  <c r="I6" i="71"/>
  <c r="R2" i="71"/>
  <c r="Y106" i="70"/>
  <c r="T104" i="70"/>
  <c r="T103" i="70"/>
  <c r="X103" i="70" s="1"/>
  <c r="I103" i="70"/>
  <c r="T102" i="70"/>
  <c r="X102" i="70" s="1"/>
  <c r="I102" i="70"/>
  <c r="I104" i="70" s="1"/>
  <c r="J104" i="70" s="1"/>
  <c r="G102" i="70"/>
  <c r="G103" i="70" s="1"/>
  <c r="I98" i="70"/>
  <c r="J98" i="70" s="1"/>
  <c r="E98" i="70"/>
  <c r="T97" i="70"/>
  <c r="I97" i="70"/>
  <c r="X96" i="70" s="1"/>
  <c r="E97" i="70"/>
  <c r="J97" i="70" s="1"/>
  <c r="T96" i="70"/>
  <c r="T92" i="70"/>
  <c r="G92" i="70"/>
  <c r="V92" i="70" s="1"/>
  <c r="T91" i="70"/>
  <c r="G91" i="70"/>
  <c r="V91" i="70" s="1"/>
  <c r="T90" i="70"/>
  <c r="G90" i="70"/>
  <c r="V90" i="70" s="1"/>
  <c r="G87" i="70"/>
  <c r="G86" i="70"/>
  <c r="V86" i="70" s="1"/>
  <c r="G85" i="70"/>
  <c r="G84" i="70"/>
  <c r="V83" i="70" s="1"/>
  <c r="J82" i="70"/>
  <c r="Y81" i="70" s="1"/>
  <c r="J81" i="70"/>
  <c r="I84" i="70" s="1"/>
  <c r="Y80" i="70"/>
  <c r="G72" i="70"/>
  <c r="G71" i="70"/>
  <c r="V70" i="70" s="1"/>
  <c r="G70" i="70"/>
  <c r="V69" i="70" s="1"/>
  <c r="G68" i="70"/>
  <c r="V67" i="70" s="1"/>
  <c r="I65" i="70"/>
  <c r="X64" i="70" s="1"/>
  <c r="I62" i="70"/>
  <c r="X61" i="70" s="1"/>
  <c r="I59" i="70"/>
  <c r="X58" i="70" s="1"/>
  <c r="I56" i="70"/>
  <c r="X55" i="70" s="1"/>
  <c r="I53" i="70"/>
  <c r="X52" i="70" s="1"/>
  <c r="T50" i="70"/>
  <c r="D50" i="70"/>
  <c r="E46" i="70" s="1"/>
  <c r="C50" i="70"/>
  <c r="I49" i="70"/>
  <c r="X49" i="70" s="1"/>
  <c r="Y49" i="70" s="1"/>
  <c r="I48" i="70"/>
  <c r="X48" i="70" s="1"/>
  <c r="Y48" i="70" s="1"/>
  <c r="I47" i="70"/>
  <c r="X47" i="70" s="1"/>
  <c r="Y47" i="70" s="1"/>
  <c r="I46" i="70"/>
  <c r="X46" i="70" s="1"/>
  <c r="Y46" i="70" s="1"/>
  <c r="I45" i="70"/>
  <c r="X45" i="70" s="1"/>
  <c r="Y45" i="70" s="1"/>
  <c r="I44" i="70"/>
  <c r="X44" i="70" s="1"/>
  <c r="Y44" i="70" s="1"/>
  <c r="I43" i="70"/>
  <c r="X43" i="70" s="1"/>
  <c r="Y43" i="70" s="1"/>
  <c r="I42" i="70"/>
  <c r="X42" i="70" s="1"/>
  <c r="Y42" i="70" s="1"/>
  <c r="I41" i="70"/>
  <c r="X41" i="70" s="1"/>
  <c r="Y41" i="70" s="1"/>
  <c r="Y50" i="70" s="1"/>
  <c r="Y37" i="70"/>
  <c r="J37" i="70"/>
  <c r="Y36" i="70"/>
  <c r="J36" i="70"/>
  <c r="G32" i="70"/>
  <c r="T31" i="70"/>
  <c r="V32" i="70" s="1"/>
  <c r="D28" i="70"/>
  <c r="E23" i="70" s="1"/>
  <c r="I23" i="70" s="1"/>
  <c r="C28" i="70"/>
  <c r="T27" i="70"/>
  <c r="X27" i="70" s="1"/>
  <c r="E27" i="70"/>
  <c r="I27" i="70" s="1"/>
  <c r="T26" i="70"/>
  <c r="X26" i="70" s="1"/>
  <c r="T25" i="70"/>
  <c r="X25" i="70" s="1"/>
  <c r="T24" i="70"/>
  <c r="X24" i="70" s="1"/>
  <c r="E24" i="70"/>
  <c r="I24" i="70" s="1"/>
  <c r="T23" i="70"/>
  <c r="X23" i="70" s="1"/>
  <c r="T22" i="70"/>
  <c r="X22" i="70" s="1"/>
  <c r="Y22" i="70" s="1"/>
  <c r="T21" i="70"/>
  <c r="X21" i="70" s="1"/>
  <c r="Y21" i="70" s="1"/>
  <c r="E21" i="70"/>
  <c r="I21" i="70" s="1"/>
  <c r="T20" i="70"/>
  <c r="X20" i="70" s="1"/>
  <c r="Y20" i="70" s="1"/>
  <c r="E20" i="70"/>
  <c r="I20" i="70" s="1"/>
  <c r="J20" i="70" s="1"/>
  <c r="T19" i="70"/>
  <c r="X19" i="70" s="1"/>
  <c r="Y19" i="70" s="1"/>
  <c r="T18" i="70"/>
  <c r="X18" i="70" s="1"/>
  <c r="T17" i="70"/>
  <c r="X17" i="70" s="1"/>
  <c r="T16" i="70"/>
  <c r="X16" i="70" s="1"/>
  <c r="T15" i="70"/>
  <c r="X15" i="70" s="1"/>
  <c r="T14" i="70"/>
  <c r="X14" i="70" s="1"/>
  <c r="E14" i="70"/>
  <c r="I14" i="70" s="1"/>
  <c r="T13" i="70"/>
  <c r="T12" i="70"/>
  <c r="X12" i="70" s="1"/>
  <c r="I7" i="70"/>
  <c r="T6" i="70"/>
  <c r="I6" i="70"/>
  <c r="J31" i="70" s="1"/>
  <c r="R2" i="70"/>
  <c r="Y106" i="69"/>
  <c r="T104" i="69"/>
  <c r="I104" i="69"/>
  <c r="J104" i="69" s="1"/>
  <c r="T103" i="69"/>
  <c r="X103" i="69" s="1"/>
  <c r="Y103" i="69" s="1"/>
  <c r="I103" i="69"/>
  <c r="X102" i="69"/>
  <c r="Y102" i="69" s="1"/>
  <c r="V102" i="69"/>
  <c r="V103" i="69" s="1"/>
  <c r="T102" i="69"/>
  <c r="I102" i="69"/>
  <c r="G102" i="69"/>
  <c r="G103" i="69" s="1"/>
  <c r="I98" i="69"/>
  <c r="E98" i="69"/>
  <c r="X97" i="69"/>
  <c r="Y97" i="69" s="1"/>
  <c r="T97" i="69"/>
  <c r="I97" i="69"/>
  <c r="X96" i="69" s="1"/>
  <c r="E97" i="69"/>
  <c r="J97" i="69" s="1"/>
  <c r="T96" i="69"/>
  <c r="T92" i="69"/>
  <c r="G92" i="69"/>
  <c r="V92" i="69" s="1"/>
  <c r="T91" i="69"/>
  <c r="G91" i="69"/>
  <c r="V91" i="69" s="1"/>
  <c r="T90" i="69"/>
  <c r="G90" i="69"/>
  <c r="V90" i="69" s="1"/>
  <c r="G87" i="69"/>
  <c r="G86" i="69"/>
  <c r="V86" i="69" s="1"/>
  <c r="G85" i="69"/>
  <c r="G84" i="69"/>
  <c r="V83" i="69" s="1"/>
  <c r="J82" i="69"/>
  <c r="Y81" i="69" s="1"/>
  <c r="X83" i="69" s="1"/>
  <c r="J81" i="69"/>
  <c r="Y80" i="69"/>
  <c r="G72" i="69"/>
  <c r="V71" i="69" s="1"/>
  <c r="G71" i="69"/>
  <c r="V70" i="69" s="1"/>
  <c r="G70" i="69"/>
  <c r="V69" i="69" s="1"/>
  <c r="G68" i="69"/>
  <c r="V67" i="69"/>
  <c r="I65" i="69"/>
  <c r="X64" i="69" s="1"/>
  <c r="I62" i="69"/>
  <c r="X61" i="69" s="1"/>
  <c r="I59" i="69"/>
  <c r="X58" i="69" s="1"/>
  <c r="I56" i="69"/>
  <c r="X55" i="69" s="1"/>
  <c r="I53" i="69"/>
  <c r="X52" i="69" s="1"/>
  <c r="T50" i="69"/>
  <c r="D50" i="69"/>
  <c r="C50" i="69"/>
  <c r="I49" i="69"/>
  <c r="X49" i="69" s="1"/>
  <c r="Y49" i="69" s="1"/>
  <c r="I48" i="69"/>
  <c r="X48" i="69" s="1"/>
  <c r="Y48" i="69" s="1"/>
  <c r="I47" i="69"/>
  <c r="X47" i="69" s="1"/>
  <c r="Y47" i="69" s="1"/>
  <c r="I46" i="69"/>
  <c r="X46" i="69" s="1"/>
  <c r="Y46" i="69" s="1"/>
  <c r="I45" i="69"/>
  <c r="X45" i="69" s="1"/>
  <c r="Y45" i="69" s="1"/>
  <c r="I44" i="69"/>
  <c r="X44" i="69" s="1"/>
  <c r="Y44" i="69" s="1"/>
  <c r="I43" i="69"/>
  <c r="X43" i="69" s="1"/>
  <c r="Y43" i="69" s="1"/>
  <c r="I42" i="69"/>
  <c r="X42" i="69" s="1"/>
  <c r="Y42" i="69" s="1"/>
  <c r="I41" i="69"/>
  <c r="X41" i="69" s="1"/>
  <c r="Y41" i="69" s="1"/>
  <c r="Y37" i="69"/>
  <c r="J37" i="69"/>
  <c r="Y36" i="69"/>
  <c r="Y38" i="69" s="1"/>
  <c r="J36" i="69"/>
  <c r="G32" i="69"/>
  <c r="T31" i="69"/>
  <c r="V32" i="69" s="1"/>
  <c r="D28" i="69"/>
  <c r="E23" i="69" s="1"/>
  <c r="T23" i="69" s="1"/>
  <c r="X23" i="69" s="1"/>
  <c r="C28" i="69"/>
  <c r="E27" i="69"/>
  <c r="T27" i="69" s="1"/>
  <c r="X27" i="69" s="1"/>
  <c r="E24" i="69"/>
  <c r="T24" i="69" s="1"/>
  <c r="X24" i="69" s="1"/>
  <c r="E21" i="69"/>
  <c r="I21" i="69" s="1"/>
  <c r="E20" i="69"/>
  <c r="E17" i="69"/>
  <c r="T17" i="69" s="1"/>
  <c r="X17" i="69" s="1"/>
  <c r="E14" i="69"/>
  <c r="T14" i="69" s="1"/>
  <c r="X14" i="69" s="1"/>
  <c r="I7" i="69"/>
  <c r="T6" i="69"/>
  <c r="I6" i="69"/>
  <c r="J31" i="69" s="1"/>
  <c r="Y31" i="69" s="1"/>
  <c r="Y32" i="69" s="1"/>
  <c r="R2" i="69"/>
  <c r="Y106" i="68"/>
  <c r="T104" i="68"/>
  <c r="I104" i="68"/>
  <c r="J104" i="68" s="1"/>
  <c r="X103" i="68"/>
  <c r="T103" i="68"/>
  <c r="I103" i="68"/>
  <c r="T102" i="68"/>
  <c r="X102" i="68" s="1"/>
  <c r="I102" i="68"/>
  <c r="J102" i="68" s="1"/>
  <c r="G102" i="68"/>
  <c r="G103" i="68" s="1"/>
  <c r="I98" i="68"/>
  <c r="X97" i="68" s="1"/>
  <c r="Y97" i="68" s="1"/>
  <c r="E98" i="68"/>
  <c r="T97" i="68"/>
  <c r="I97" i="68"/>
  <c r="X96" i="68" s="1"/>
  <c r="E97" i="68"/>
  <c r="T96" i="68"/>
  <c r="T92" i="68"/>
  <c r="G92" i="68"/>
  <c r="V92" i="68" s="1"/>
  <c r="T91" i="68"/>
  <c r="G91" i="68"/>
  <c r="V91" i="68" s="1"/>
  <c r="T90" i="68"/>
  <c r="G90" i="68"/>
  <c r="V90" i="68" s="1"/>
  <c r="D90" i="68"/>
  <c r="G87" i="68"/>
  <c r="G86" i="68"/>
  <c r="V86" i="68" s="1"/>
  <c r="G85" i="68"/>
  <c r="V85" i="68" s="1"/>
  <c r="G84" i="68"/>
  <c r="J82" i="68"/>
  <c r="Y81" i="68" s="1"/>
  <c r="X83" i="68" s="1"/>
  <c r="J81" i="68"/>
  <c r="I84" i="68" s="1"/>
  <c r="Y80" i="68"/>
  <c r="G72" i="68"/>
  <c r="G71" i="68"/>
  <c r="G70" i="68"/>
  <c r="G68" i="68"/>
  <c r="V67" i="68" s="1"/>
  <c r="I65" i="68"/>
  <c r="X64" i="68" s="1"/>
  <c r="I62" i="68"/>
  <c r="X61" i="68" s="1"/>
  <c r="I59" i="68"/>
  <c r="X58" i="68" s="1"/>
  <c r="I56" i="68"/>
  <c r="X55" i="68" s="1"/>
  <c r="I53" i="68"/>
  <c r="X52" i="68" s="1"/>
  <c r="T50" i="68"/>
  <c r="D50" i="68"/>
  <c r="E46" i="68" s="1"/>
  <c r="J46" i="68" s="1"/>
  <c r="C50" i="68"/>
  <c r="I49" i="68"/>
  <c r="X49" i="68" s="1"/>
  <c r="Y49" i="68" s="1"/>
  <c r="I48" i="68"/>
  <c r="X48" i="68" s="1"/>
  <c r="Y48" i="68" s="1"/>
  <c r="I47" i="68"/>
  <c r="X47" i="68" s="1"/>
  <c r="Y47" i="68" s="1"/>
  <c r="I46" i="68"/>
  <c r="X46" i="68" s="1"/>
  <c r="Y46" i="68" s="1"/>
  <c r="I45" i="68"/>
  <c r="X45" i="68" s="1"/>
  <c r="Y45" i="68" s="1"/>
  <c r="I44" i="68"/>
  <c r="X44" i="68" s="1"/>
  <c r="Y44" i="68" s="1"/>
  <c r="I43" i="68"/>
  <c r="X43" i="68" s="1"/>
  <c r="Y43" i="68" s="1"/>
  <c r="I42" i="68"/>
  <c r="X42" i="68" s="1"/>
  <c r="Y42" i="68" s="1"/>
  <c r="I41" i="68"/>
  <c r="X41" i="68" s="1"/>
  <c r="Y41" i="68" s="1"/>
  <c r="Y37" i="68"/>
  <c r="J37" i="68"/>
  <c r="Y36" i="68"/>
  <c r="Y38" i="68" s="1"/>
  <c r="J36" i="68"/>
  <c r="J38" i="68" s="1"/>
  <c r="V32" i="68"/>
  <c r="G32" i="68"/>
  <c r="T31" i="68"/>
  <c r="D28" i="68"/>
  <c r="E23" i="68" s="1"/>
  <c r="C28" i="68"/>
  <c r="E19" i="68"/>
  <c r="T19" i="68" s="1"/>
  <c r="X19" i="68" s="1"/>
  <c r="Y19" i="68" s="1"/>
  <c r="E18" i="68"/>
  <c r="T18" i="68" s="1"/>
  <c r="X18" i="68" s="1"/>
  <c r="Y18" i="68" s="1"/>
  <c r="E17" i="68"/>
  <c r="T17" i="68" s="1"/>
  <c r="X17" i="68" s="1"/>
  <c r="Y17" i="68" s="1"/>
  <c r="I7" i="68"/>
  <c r="T6" i="68"/>
  <c r="I6" i="68"/>
  <c r="J31" i="68" s="1"/>
  <c r="R2" i="68"/>
  <c r="Y106" i="67"/>
  <c r="T104" i="67"/>
  <c r="T103" i="67"/>
  <c r="X103" i="67" s="1"/>
  <c r="I103" i="67"/>
  <c r="T102" i="67"/>
  <c r="X102" i="67" s="1"/>
  <c r="I102" i="67"/>
  <c r="I104" i="67" s="1"/>
  <c r="J104" i="67" s="1"/>
  <c r="G102" i="67"/>
  <c r="G103" i="67" s="1"/>
  <c r="I98" i="67"/>
  <c r="X97" i="67" s="1"/>
  <c r="E98" i="67"/>
  <c r="T97" i="67"/>
  <c r="I97" i="67"/>
  <c r="X96" i="67" s="1"/>
  <c r="E97" i="67"/>
  <c r="J97" i="67" s="1"/>
  <c r="T96" i="67"/>
  <c r="T92" i="67"/>
  <c r="G92" i="67"/>
  <c r="V92" i="67" s="1"/>
  <c r="D92" i="67"/>
  <c r="T91" i="67"/>
  <c r="G91" i="67"/>
  <c r="V91" i="67" s="1"/>
  <c r="T90" i="67"/>
  <c r="G90" i="67"/>
  <c r="V90" i="67" s="1"/>
  <c r="D90" i="67"/>
  <c r="G87" i="67"/>
  <c r="V87" i="67" s="1"/>
  <c r="G86" i="67"/>
  <c r="V86" i="67" s="1"/>
  <c r="G85" i="67"/>
  <c r="G84" i="67"/>
  <c r="V83" i="67" s="1"/>
  <c r="J82" i="67"/>
  <c r="Y81" i="67" s="1"/>
  <c r="X83" i="67" s="1"/>
  <c r="J81" i="67"/>
  <c r="Y80" i="67"/>
  <c r="G72" i="67"/>
  <c r="V71" i="67"/>
  <c r="G71" i="67"/>
  <c r="V70" i="67" s="1"/>
  <c r="G70" i="67"/>
  <c r="V69" i="67" s="1"/>
  <c r="G68" i="67"/>
  <c r="V67" i="67"/>
  <c r="I65" i="67"/>
  <c r="X64" i="67" s="1"/>
  <c r="I62" i="67"/>
  <c r="X61" i="67" s="1"/>
  <c r="I59" i="67"/>
  <c r="X58" i="67" s="1"/>
  <c r="I56" i="67"/>
  <c r="X55" i="67" s="1"/>
  <c r="I53" i="67"/>
  <c r="X52" i="67"/>
  <c r="T50" i="67"/>
  <c r="D50" i="67"/>
  <c r="C50" i="67"/>
  <c r="I49" i="67"/>
  <c r="X49" i="67" s="1"/>
  <c r="Y49" i="67" s="1"/>
  <c r="I48" i="67"/>
  <c r="X48" i="67" s="1"/>
  <c r="Y48" i="67" s="1"/>
  <c r="I47" i="67"/>
  <c r="X47" i="67" s="1"/>
  <c r="Y47" i="67" s="1"/>
  <c r="I46" i="67"/>
  <c r="X46" i="67" s="1"/>
  <c r="Y46" i="67" s="1"/>
  <c r="I45" i="67"/>
  <c r="X45" i="67" s="1"/>
  <c r="Y45" i="67" s="1"/>
  <c r="I44" i="67"/>
  <c r="X44" i="67" s="1"/>
  <c r="Y44" i="67" s="1"/>
  <c r="I43" i="67"/>
  <c r="X43" i="67" s="1"/>
  <c r="Y43" i="67" s="1"/>
  <c r="I42" i="67"/>
  <c r="X42" i="67" s="1"/>
  <c r="Y42" i="67" s="1"/>
  <c r="I41" i="67"/>
  <c r="X41" i="67" s="1"/>
  <c r="Y41" i="67" s="1"/>
  <c r="Y37" i="67"/>
  <c r="J37" i="67"/>
  <c r="Y36" i="67"/>
  <c r="Y38" i="67" s="1"/>
  <c r="J36" i="67"/>
  <c r="J38" i="67" s="1"/>
  <c r="G32" i="67"/>
  <c r="T31" i="67"/>
  <c r="V32" i="67" s="1"/>
  <c r="D28" i="67"/>
  <c r="E23" i="67" s="1"/>
  <c r="T23" i="67" s="1"/>
  <c r="X23" i="67" s="1"/>
  <c r="Y23" i="67" s="1"/>
  <c r="C28" i="67"/>
  <c r="E20" i="67"/>
  <c r="E18" i="67"/>
  <c r="T18" i="67" s="1"/>
  <c r="X18" i="67" s="1"/>
  <c r="Y18" i="67" s="1"/>
  <c r="E17" i="67"/>
  <c r="T17" i="67" s="1"/>
  <c r="X17" i="67" s="1"/>
  <c r="Y17" i="67" s="1"/>
  <c r="E14" i="67"/>
  <c r="I14" i="67" s="1"/>
  <c r="I7" i="67"/>
  <c r="T6" i="67"/>
  <c r="I6" i="67"/>
  <c r="J31" i="67" s="1"/>
  <c r="Y31" i="67" s="1"/>
  <c r="Y32" i="67" s="1"/>
  <c r="R2" i="67"/>
  <c r="Y106" i="66"/>
  <c r="T104" i="66"/>
  <c r="T103" i="66"/>
  <c r="X103" i="66" s="1"/>
  <c r="I103" i="66"/>
  <c r="T102" i="66"/>
  <c r="X102" i="66" s="1"/>
  <c r="I102" i="66"/>
  <c r="G102" i="66"/>
  <c r="G103" i="66" s="1"/>
  <c r="I98" i="66"/>
  <c r="X97" i="66" s="1"/>
  <c r="E98" i="66"/>
  <c r="T97" i="66"/>
  <c r="I97" i="66"/>
  <c r="X96" i="66" s="1"/>
  <c r="E97" i="66"/>
  <c r="T92" i="66"/>
  <c r="G92" i="66"/>
  <c r="V92" i="66" s="1"/>
  <c r="T91" i="66"/>
  <c r="G91" i="66"/>
  <c r="V91" i="66" s="1"/>
  <c r="V90" i="66"/>
  <c r="T90" i="66"/>
  <c r="G90" i="66"/>
  <c r="G87" i="66"/>
  <c r="G86" i="66"/>
  <c r="G85" i="66"/>
  <c r="V85" i="66" s="1"/>
  <c r="G84" i="66"/>
  <c r="V83" i="66" s="1"/>
  <c r="J82" i="66"/>
  <c r="Y81" i="66" s="1"/>
  <c r="X83" i="66" s="1"/>
  <c r="J81" i="66"/>
  <c r="Y80" i="66"/>
  <c r="G72" i="66"/>
  <c r="V71" i="66" s="1"/>
  <c r="G71" i="66"/>
  <c r="V70" i="66" s="1"/>
  <c r="G70" i="66"/>
  <c r="V69" i="66" s="1"/>
  <c r="G68" i="66"/>
  <c r="V67" i="66" s="1"/>
  <c r="I65" i="66"/>
  <c r="X64" i="66" s="1"/>
  <c r="I62" i="66"/>
  <c r="X61" i="66" s="1"/>
  <c r="I59" i="66"/>
  <c r="X58" i="66" s="1"/>
  <c r="I56" i="66"/>
  <c r="X55" i="66" s="1"/>
  <c r="I53" i="66"/>
  <c r="X52" i="66" s="1"/>
  <c r="T50" i="66"/>
  <c r="D50" i="66"/>
  <c r="C50" i="66"/>
  <c r="I49" i="66"/>
  <c r="X49" i="66" s="1"/>
  <c r="Y49" i="66" s="1"/>
  <c r="I48" i="66"/>
  <c r="X48" i="66" s="1"/>
  <c r="Y48" i="66" s="1"/>
  <c r="I47" i="66"/>
  <c r="X47" i="66" s="1"/>
  <c r="Y47" i="66" s="1"/>
  <c r="I46" i="66"/>
  <c r="X46" i="66" s="1"/>
  <c r="Y46" i="66" s="1"/>
  <c r="I45" i="66"/>
  <c r="X45" i="66" s="1"/>
  <c r="Y45" i="66" s="1"/>
  <c r="I44" i="66"/>
  <c r="X44" i="66" s="1"/>
  <c r="Y44" i="66" s="1"/>
  <c r="I43" i="66"/>
  <c r="X43" i="66" s="1"/>
  <c r="Y43" i="66" s="1"/>
  <c r="I42" i="66"/>
  <c r="X42" i="66" s="1"/>
  <c r="Y42" i="66" s="1"/>
  <c r="I41" i="66"/>
  <c r="X41" i="66" s="1"/>
  <c r="Y41" i="66" s="1"/>
  <c r="Y37" i="66"/>
  <c r="J37" i="66"/>
  <c r="Y36" i="66"/>
  <c r="J36" i="66"/>
  <c r="J38" i="66" s="1"/>
  <c r="G32" i="66"/>
  <c r="T31" i="66"/>
  <c r="V32" i="66" s="1"/>
  <c r="D28" i="66"/>
  <c r="E23" i="66" s="1"/>
  <c r="I23" i="66" s="1"/>
  <c r="C28" i="66"/>
  <c r="E27" i="66"/>
  <c r="I27" i="66" s="1"/>
  <c r="E14" i="66"/>
  <c r="I14" i="66" s="1"/>
  <c r="E12" i="66"/>
  <c r="I12" i="66" s="1"/>
  <c r="I7" i="66"/>
  <c r="T6" i="66"/>
  <c r="I6" i="66"/>
  <c r="D92" i="66" s="1"/>
  <c r="R2" i="66"/>
  <c r="E98" i="65"/>
  <c r="Y106" i="65"/>
  <c r="T104" i="65"/>
  <c r="T103" i="65"/>
  <c r="X103" i="65" s="1"/>
  <c r="I103" i="65"/>
  <c r="T102" i="65"/>
  <c r="V102" i="65" s="1"/>
  <c r="V103" i="65" s="1"/>
  <c r="Y103" i="65" s="1"/>
  <c r="I102" i="65"/>
  <c r="G102" i="65"/>
  <c r="G103" i="65" s="1"/>
  <c r="I98" i="65"/>
  <c r="X97" i="65" s="1"/>
  <c r="T97" i="65"/>
  <c r="I97" i="65"/>
  <c r="X96" i="65" s="1"/>
  <c r="E97" i="65"/>
  <c r="J97" i="65" s="1"/>
  <c r="T96" i="65"/>
  <c r="T92" i="65"/>
  <c r="G92" i="65"/>
  <c r="V92" i="65" s="1"/>
  <c r="T91" i="65"/>
  <c r="G91" i="65"/>
  <c r="V91" i="65" s="1"/>
  <c r="T90" i="65"/>
  <c r="G90" i="65"/>
  <c r="V90" i="65" s="1"/>
  <c r="G87" i="65"/>
  <c r="G86" i="65"/>
  <c r="V86" i="65" s="1"/>
  <c r="G85" i="65"/>
  <c r="G84" i="65"/>
  <c r="V83" i="65" s="1"/>
  <c r="J82" i="65"/>
  <c r="Y81" i="65" s="1"/>
  <c r="J81" i="65"/>
  <c r="I84" i="65" s="1"/>
  <c r="Y80" i="65"/>
  <c r="G72" i="65"/>
  <c r="V71" i="65" s="1"/>
  <c r="G71" i="65"/>
  <c r="V70" i="65" s="1"/>
  <c r="G70" i="65"/>
  <c r="G68" i="65"/>
  <c r="V67" i="65" s="1"/>
  <c r="I65" i="65"/>
  <c r="X64" i="65" s="1"/>
  <c r="I62" i="65"/>
  <c r="X61" i="65" s="1"/>
  <c r="I59" i="65"/>
  <c r="X58" i="65" s="1"/>
  <c r="I56" i="65"/>
  <c r="X55" i="65" s="1"/>
  <c r="I53" i="65"/>
  <c r="X52" i="65" s="1"/>
  <c r="T50" i="65"/>
  <c r="D50" i="65"/>
  <c r="E46" i="65" s="1"/>
  <c r="C50" i="65"/>
  <c r="I49" i="65"/>
  <c r="X49" i="65" s="1"/>
  <c r="Y49" i="65" s="1"/>
  <c r="I48" i="65"/>
  <c r="X48" i="65" s="1"/>
  <c r="Y48" i="65" s="1"/>
  <c r="I47" i="65"/>
  <c r="X47" i="65" s="1"/>
  <c r="Y47" i="65" s="1"/>
  <c r="I46" i="65"/>
  <c r="X46" i="65" s="1"/>
  <c r="Y46" i="65" s="1"/>
  <c r="I45" i="65"/>
  <c r="X45" i="65" s="1"/>
  <c r="Y45" i="65" s="1"/>
  <c r="I44" i="65"/>
  <c r="X44" i="65" s="1"/>
  <c r="Y44" i="65" s="1"/>
  <c r="I43" i="65"/>
  <c r="X43" i="65" s="1"/>
  <c r="Y43" i="65" s="1"/>
  <c r="I42" i="65"/>
  <c r="X42" i="65" s="1"/>
  <c r="Y42" i="65" s="1"/>
  <c r="I41" i="65"/>
  <c r="X41" i="65" s="1"/>
  <c r="Y41" i="65" s="1"/>
  <c r="Y50" i="65" s="1"/>
  <c r="Y37" i="65"/>
  <c r="J37" i="65"/>
  <c r="Y36" i="65"/>
  <c r="Y38" i="65" s="1"/>
  <c r="J36" i="65"/>
  <c r="G32" i="65"/>
  <c r="T31" i="65"/>
  <c r="V32" i="65" s="1"/>
  <c r="D28" i="65"/>
  <c r="E23" i="65" s="1"/>
  <c r="I23" i="65" s="1"/>
  <c r="C28" i="65"/>
  <c r="T27" i="65"/>
  <c r="X27" i="65" s="1"/>
  <c r="E27" i="65"/>
  <c r="I27" i="65" s="1"/>
  <c r="T26" i="65"/>
  <c r="X26" i="65" s="1"/>
  <c r="T25" i="65"/>
  <c r="X25" i="65" s="1"/>
  <c r="Y25" i="65" s="1"/>
  <c r="T24" i="65"/>
  <c r="X24" i="65" s="1"/>
  <c r="Y24" i="65" s="1"/>
  <c r="T23" i="65"/>
  <c r="X23" i="65" s="1"/>
  <c r="Y23" i="65" s="1"/>
  <c r="T22" i="65"/>
  <c r="X22" i="65" s="1"/>
  <c r="Y22" i="65" s="1"/>
  <c r="T21" i="65"/>
  <c r="X21" i="65" s="1"/>
  <c r="Y21" i="65" s="1"/>
  <c r="E21" i="65"/>
  <c r="I21" i="65" s="1"/>
  <c r="J21" i="65" s="1"/>
  <c r="T20" i="65"/>
  <c r="X20" i="65" s="1"/>
  <c r="Y20" i="65" s="1"/>
  <c r="E20" i="65"/>
  <c r="I20" i="65" s="1"/>
  <c r="J20" i="65" s="1"/>
  <c r="T19" i="65"/>
  <c r="X19" i="65" s="1"/>
  <c r="T18" i="65"/>
  <c r="X18" i="65" s="1"/>
  <c r="T17" i="65"/>
  <c r="X17" i="65" s="1"/>
  <c r="T16" i="65"/>
  <c r="X16" i="65" s="1"/>
  <c r="T15" i="65"/>
  <c r="X15" i="65" s="1"/>
  <c r="T14" i="65"/>
  <c r="X14" i="65" s="1"/>
  <c r="T13" i="65"/>
  <c r="T12" i="65"/>
  <c r="X12" i="65" s="1"/>
  <c r="I7" i="65"/>
  <c r="T6" i="65"/>
  <c r="I6" i="65"/>
  <c r="J31" i="65" s="1"/>
  <c r="R2" i="65"/>
  <c r="E97" i="64"/>
  <c r="Y106" i="64"/>
  <c r="T104" i="64"/>
  <c r="T103" i="64"/>
  <c r="X103" i="64" s="1"/>
  <c r="I103" i="64"/>
  <c r="T102" i="64"/>
  <c r="V102" i="64" s="1"/>
  <c r="V103" i="64" s="1"/>
  <c r="I102" i="64"/>
  <c r="I104" i="64" s="1"/>
  <c r="J104" i="64" s="1"/>
  <c r="G102" i="64"/>
  <c r="G103" i="64" s="1"/>
  <c r="I98" i="64"/>
  <c r="X97" i="64" s="1"/>
  <c r="Y97" i="64" s="1"/>
  <c r="E98" i="64"/>
  <c r="T97" i="64"/>
  <c r="I97" i="64"/>
  <c r="X96" i="64" s="1"/>
  <c r="T96" i="64"/>
  <c r="T92" i="64"/>
  <c r="G92" i="64"/>
  <c r="V92" i="64" s="1"/>
  <c r="T91" i="64"/>
  <c r="G91" i="64"/>
  <c r="V91" i="64" s="1"/>
  <c r="T90" i="64"/>
  <c r="G90" i="64"/>
  <c r="V90" i="64" s="1"/>
  <c r="G87" i="64"/>
  <c r="V87" i="64" s="1"/>
  <c r="G86" i="64"/>
  <c r="V86" i="64" s="1"/>
  <c r="G85" i="64"/>
  <c r="G84" i="64"/>
  <c r="J82" i="64"/>
  <c r="Y81" i="64" s="1"/>
  <c r="X83" i="64" s="1"/>
  <c r="J81" i="64"/>
  <c r="Y80" i="64"/>
  <c r="G72" i="64"/>
  <c r="G71" i="64"/>
  <c r="G70" i="64"/>
  <c r="G68" i="64"/>
  <c r="V67" i="64" s="1"/>
  <c r="I65" i="64"/>
  <c r="X64" i="64" s="1"/>
  <c r="I62" i="64"/>
  <c r="X61" i="64" s="1"/>
  <c r="I59" i="64"/>
  <c r="X58" i="64" s="1"/>
  <c r="I56" i="64"/>
  <c r="X55" i="64" s="1"/>
  <c r="I53" i="64"/>
  <c r="X52" i="64" s="1"/>
  <c r="T50" i="64"/>
  <c r="D50" i="64"/>
  <c r="E46" i="64" s="1"/>
  <c r="C50" i="64"/>
  <c r="I49" i="64"/>
  <c r="X49" i="64" s="1"/>
  <c r="Y49" i="64" s="1"/>
  <c r="I48" i="64"/>
  <c r="X48" i="64" s="1"/>
  <c r="Y48" i="64" s="1"/>
  <c r="I47" i="64"/>
  <c r="X47" i="64" s="1"/>
  <c r="Y47" i="64" s="1"/>
  <c r="I46" i="64"/>
  <c r="X46" i="64" s="1"/>
  <c r="Y46" i="64" s="1"/>
  <c r="I45" i="64"/>
  <c r="X45" i="64" s="1"/>
  <c r="Y45" i="64" s="1"/>
  <c r="I44" i="64"/>
  <c r="X44" i="64" s="1"/>
  <c r="Y44" i="64" s="1"/>
  <c r="I43" i="64"/>
  <c r="X43" i="64" s="1"/>
  <c r="Y43" i="64" s="1"/>
  <c r="I42" i="64"/>
  <c r="X42" i="64" s="1"/>
  <c r="Y42" i="64" s="1"/>
  <c r="I41" i="64"/>
  <c r="X41" i="64" s="1"/>
  <c r="Y41" i="64" s="1"/>
  <c r="Y37" i="64"/>
  <c r="J37" i="64"/>
  <c r="Y36" i="64"/>
  <c r="J36" i="64"/>
  <c r="G32" i="64"/>
  <c r="T31" i="64"/>
  <c r="V32" i="64" s="1"/>
  <c r="D28" i="64"/>
  <c r="E23" i="64" s="1"/>
  <c r="C28" i="64"/>
  <c r="I7" i="64"/>
  <c r="T6" i="64"/>
  <c r="I6" i="64"/>
  <c r="J31" i="64" s="1"/>
  <c r="R2" i="64"/>
  <c r="T96" i="63"/>
  <c r="Y106" i="63"/>
  <c r="T104" i="63"/>
  <c r="I104" i="63"/>
  <c r="J104" i="63" s="1"/>
  <c r="T103" i="63"/>
  <c r="X103" i="63" s="1"/>
  <c r="I103" i="63"/>
  <c r="G103" i="63"/>
  <c r="T102" i="63"/>
  <c r="X102" i="63" s="1"/>
  <c r="I102" i="63"/>
  <c r="J102" i="63" s="1"/>
  <c r="G102" i="63"/>
  <c r="I98" i="63"/>
  <c r="X97" i="63" s="1"/>
  <c r="E98" i="63"/>
  <c r="T97" i="63"/>
  <c r="I97" i="63"/>
  <c r="E97" i="63"/>
  <c r="X96" i="63"/>
  <c r="T92" i="63"/>
  <c r="G92" i="63"/>
  <c r="V92" i="63" s="1"/>
  <c r="T91" i="63"/>
  <c r="G91" i="63"/>
  <c r="V91" i="63" s="1"/>
  <c r="T90" i="63"/>
  <c r="G90" i="63"/>
  <c r="V90" i="63" s="1"/>
  <c r="G87" i="63"/>
  <c r="V87" i="63" s="1"/>
  <c r="G86" i="63"/>
  <c r="G85" i="63"/>
  <c r="V85" i="63" s="1"/>
  <c r="G84" i="63"/>
  <c r="V83" i="63" s="1"/>
  <c r="J82" i="63"/>
  <c r="Y81" i="63" s="1"/>
  <c r="X83" i="63" s="1"/>
  <c r="J81" i="63"/>
  <c r="Y80" i="63"/>
  <c r="G72" i="63"/>
  <c r="V71" i="63" s="1"/>
  <c r="G71" i="63"/>
  <c r="G70" i="63"/>
  <c r="V69" i="63" s="1"/>
  <c r="G68" i="63"/>
  <c r="V67" i="63" s="1"/>
  <c r="I65" i="63"/>
  <c r="X64" i="63" s="1"/>
  <c r="I62" i="63"/>
  <c r="X61" i="63" s="1"/>
  <c r="I59" i="63"/>
  <c r="X58" i="63" s="1"/>
  <c r="I56" i="63"/>
  <c r="X55" i="63" s="1"/>
  <c r="I53" i="63"/>
  <c r="X52" i="63"/>
  <c r="T50" i="63"/>
  <c r="D50" i="63"/>
  <c r="C50" i="63"/>
  <c r="I49" i="63"/>
  <c r="X49" i="63" s="1"/>
  <c r="Y49" i="63" s="1"/>
  <c r="I48" i="63"/>
  <c r="X48" i="63" s="1"/>
  <c r="Y48" i="63" s="1"/>
  <c r="I47" i="63"/>
  <c r="X47" i="63" s="1"/>
  <c r="Y47" i="63" s="1"/>
  <c r="I46" i="63"/>
  <c r="X46" i="63" s="1"/>
  <c r="Y46" i="63" s="1"/>
  <c r="I45" i="63"/>
  <c r="X45" i="63" s="1"/>
  <c r="Y45" i="63" s="1"/>
  <c r="I44" i="63"/>
  <c r="X44" i="63" s="1"/>
  <c r="Y44" i="63" s="1"/>
  <c r="I43" i="63"/>
  <c r="X43" i="63" s="1"/>
  <c r="Y43" i="63" s="1"/>
  <c r="I42" i="63"/>
  <c r="X42" i="63" s="1"/>
  <c r="Y42" i="63" s="1"/>
  <c r="I41" i="63"/>
  <c r="X41" i="63" s="1"/>
  <c r="Y41" i="63" s="1"/>
  <c r="Y37" i="63"/>
  <c r="J37" i="63"/>
  <c r="J38" i="63" s="1"/>
  <c r="Y36" i="63"/>
  <c r="J36" i="63"/>
  <c r="V32" i="63"/>
  <c r="G32" i="63"/>
  <c r="T31" i="63"/>
  <c r="D28" i="63"/>
  <c r="E23" i="63" s="1"/>
  <c r="T23" i="63" s="1"/>
  <c r="X23" i="63" s="1"/>
  <c r="C28" i="63"/>
  <c r="E27" i="63"/>
  <c r="I27" i="63" s="1"/>
  <c r="E17" i="63"/>
  <c r="I17" i="63" s="1"/>
  <c r="I7" i="63"/>
  <c r="T6" i="63"/>
  <c r="I6" i="63"/>
  <c r="J31" i="63" s="1"/>
  <c r="R2" i="63"/>
  <c r="Y106" i="62"/>
  <c r="T104" i="62"/>
  <c r="I104" i="62"/>
  <c r="J104" i="62" s="1"/>
  <c r="T103" i="62"/>
  <c r="X103" i="62" s="1"/>
  <c r="I103" i="62"/>
  <c r="J103" i="62" s="1"/>
  <c r="T102" i="62"/>
  <c r="X102" i="62" s="1"/>
  <c r="I102" i="62"/>
  <c r="J102" i="62" s="1"/>
  <c r="G102" i="62"/>
  <c r="G103" i="62" s="1"/>
  <c r="I98" i="62"/>
  <c r="E98" i="62"/>
  <c r="X97" i="62"/>
  <c r="T97" i="62"/>
  <c r="I97" i="62"/>
  <c r="X96" i="62" s="1"/>
  <c r="E97" i="62"/>
  <c r="T96" i="62"/>
  <c r="T92" i="62"/>
  <c r="G92" i="62"/>
  <c r="V92" i="62" s="1"/>
  <c r="T91" i="62"/>
  <c r="G91" i="62"/>
  <c r="V91" i="62" s="1"/>
  <c r="T90" i="62"/>
  <c r="G90" i="62"/>
  <c r="V90" i="62" s="1"/>
  <c r="G87" i="62"/>
  <c r="G86" i="62"/>
  <c r="V86" i="62" s="1"/>
  <c r="G85" i="62"/>
  <c r="G84" i="62"/>
  <c r="V83" i="62"/>
  <c r="J82" i="62"/>
  <c r="Y81" i="62" s="1"/>
  <c r="X83" i="62" s="1"/>
  <c r="J81" i="62"/>
  <c r="Y80" i="62"/>
  <c r="G72" i="62"/>
  <c r="V71" i="62" s="1"/>
  <c r="G71" i="62"/>
  <c r="V70" i="62"/>
  <c r="G70" i="62"/>
  <c r="V69" i="62" s="1"/>
  <c r="G68" i="62"/>
  <c r="V67" i="62" s="1"/>
  <c r="I65" i="62"/>
  <c r="X64" i="62" s="1"/>
  <c r="I62" i="62"/>
  <c r="X61" i="62" s="1"/>
  <c r="I59" i="62"/>
  <c r="X58" i="62" s="1"/>
  <c r="I56" i="62"/>
  <c r="X55" i="62" s="1"/>
  <c r="I53" i="62"/>
  <c r="X52" i="62" s="1"/>
  <c r="T50" i="62"/>
  <c r="D50" i="62"/>
  <c r="C50" i="62"/>
  <c r="I49" i="62"/>
  <c r="X49" i="62" s="1"/>
  <c r="Y49" i="62" s="1"/>
  <c r="I48" i="62"/>
  <c r="X48" i="62" s="1"/>
  <c r="Y48" i="62" s="1"/>
  <c r="I47" i="62"/>
  <c r="X47" i="62" s="1"/>
  <c r="Y47" i="62" s="1"/>
  <c r="I46" i="62"/>
  <c r="X46" i="62" s="1"/>
  <c r="Y46" i="62" s="1"/>
  <c r="I45" i="62"/>
  <c r="X45" i="62" s="1"/>
  <c r="Y45" i="62" s="1"/>
  <c r="I44" i="62"/>
  <c r="X44" i="62" s="1"/>
  <c r="Y44" i="62" s="1"/>
  <c r="I43" i="62"/>
  <c r="X43" i="62" s="1"/>
  <c r="Y43" i="62" s="1"/>
  <c r="I42" i="62"/>
  <c r="X42" i="62" s="1"/>
  <c r="Y42" i="62" s="1"/>
  <c r="I41" i="62"/>
  <c r="X41" i="62" s="1"/>
  <c r="Y41" i="62" s="1"/>
  <c r="Y37" i="62"/>
  <c r="J37" i="62"/>
  <c r="Y36" i="62"/>
  <c r="J36" i="62"/>
  <c r="J38" i="62" s="1"/>
  <c r="V32" i="62"/>
  <c r="G32" i="62"/>
  <c r="T31" i="62"/>
  <c r="D28" i="62"/>
  <c r="E23" i="62" s="1"/>
  <c r="T23" i="62" s="1"/>
  <c r="X23" i="62" s="1"/>
  <c r="C28" i="62"/>
  <c r="E24" i="62"/>
  <c r="I24" i="62" s="1"/>
  <c r="I23" i="62"/>
  <c r="E21" i="62"/>
  <c r="T21" i="62" s="1"/>
  <c r="X21" i="62" s="1"/>
  <c r="E20" i="62"/>
  <c r="I20" i="62" s="1"/>
  <c r="E18" i="62"/>
  <c r="T18" i="62" s="1"/>
  <c r="X18" i="62" s="1"/>
  <c r="E14" i="62"/>
  <c r="I14" i="62" s="1"/>
  <c r="I7" i="62"/>
  <c r="T6" i="62"/>
  <c r="I6" i="62"/>
  <c r="J31" i="62" s="1"/>
  <c r="R2" i="62"/>
  <c r="T97" i="2"/>
  <c r="T96" i="2"/>
  <c r="T97" i="58"/>
  <c r="T97" i="59"/>
  <c r="T96" i="59"/>
  <c r="T97" i="60"/>
  <c r="T96" i="60"/>
  <c r="T96" i="61"/>
  <c r="T97" i="61"/>
  <c r="Y106" i="61"/>
  <c r="T104" i="61"/>
  <c r="T103" i="61"/>
  <c r="X103" i="61" s="1"/>
  <c r="I103" i="61"/>
  <c r="X102" i="61"/>
  <c r="X104" i="61" s="1"/>
  <c r="Y104" i="61" s="1"/>
  <c r="T102" i="61"/>
  <c r="V102" i="61" s="1"/>
  <c r="V103" i="61" s="1"/>
  <c r="I102" i="61"/>
  <c r="G102" i="61"/>
  <c r="G103" i="61" s="1"/>
  <c r="I98" i="61"/>
  <c r="J98" i="61" s="1"/>
  <c r="E98" i="61"/>
  <c r="I97" i="61"/>
  <c r="X96" i="61" s="1"/>
  <c r="E97" i="61"/>
  <c r="T92" i="61"/>
  <c r="G92" i="61"/>
  <c r="V92" i="61" s="1"/>
  <c r="T91" i="61"/>
  <c r="G91" i="61"/>
  <c r="V91" i="61" s="1"/>
  <c r="T90" i="61"/>
  <c r="G90" i="61"/>
  <c r="V90" i="61" s="1"/>
  <c r="G87" i="61"/>
  <c r="V87" i="61" s="1"/>
  <c r="G86" i="61"/>
  <c r="V86" i="61" s="1"/>
  <c r="G85" i="61"/>
  <c r="G84" i="61"/>
  <c r="J82" i="61"/>
  <c r="J81" i="61"/>
  <c r="Y80" i="61"/>
  <c r="X83" i="61" s="1"/>
  <c r="G72" i="61"/>
  <c r="V71" i="61" s="1"/>
  <c r="G71" i="61"/>
  <c r="V70" i="61" s="1"/>
  <c r="G70" i="61"/>
  <c r="G68" i="61"/>
  <c r="V67" i="61" s="1"/>
  <c r="I65" i="61"/>
  <c r="X64" i="61" s="1"/>
  <c r="I62" i="61"/>
  <c r="X61" i="61" s="1"/>
  <c r="I59" i="61"/>
  <c r="X58" i="61" s="1"/>
  <c r="I56" i="61"/>
  <c r="X55" i="61" s="1"/>
  <c r="I53" i="61"/>
  <c r="X52" i="61" s="1"/>
  <c r="T50" i="61"/>
  <c r="D50" i="61"/>
  <c r="E46" i="61" s="1"/>
  <c r="J46" i="61" s="1"/>
  <c r="C50" i="61"/>
  <c r="I49" i="61"/>
  <c r="X49" i="61" s="1"/>
  <c r="Y49" i="61" s="1"/>
  <c r="I48" i="61"/>
  <c r="X48" i="61" s="1"/>
  <c r="Y48" i="61" s="1"/>
  <c r="I47" i="61"/>
  <c r="X47" i="61" s="1"/>
  <c r="Y47" i="61" s="1"/>
  <c r="E47" i="61"/>
  <c r="I46" i="61"/>
  <c r="X46" i="61" s="1"/>
  <c r="Y46" i="61" s="1"/>
  <c r="I45" i="61"/>
  <c r="X45" i="61" s="1"/>
  <c r="Y45" i="61" s="1"/>
  <c r="I44" i="61"/>
  <c r="X44" i="61" s="1"/>
  <c r="Y44" i="61" s="1"/>
  <c r="I43" i="61"/>
  <c r="X43" i="61" s="1"/>
  <c r="Y43" i="61" s="1"/>
  <c r="I42" i="61"/>
  <c r="X42" i="61" s="1"/>
  <c r="Y42" i="61" s="1"/>
  <c r="I41" i="61"/>
  <c r="X41" i="61" s="1"/>
  <c r="Y41" i="61" s="1"/>
  <c r="Y37" i="61"/>
  <c r="J37" i="61"/>
  <c r="Y36" i="61"/>
  <c r="Y38" i="61" s="1"/>
  <c r="J36" i="61"/>
  <c r="J38" i="61" s="1"/>
  <c r="G32" i="61"/>
  <c r="T31" i="61"/>
  <c r="V32" i="61" s="1"/>
  <c r="D28" i="61"/>
  <c r="E23" i="61" s="1"/>
  <c r="I23" i="61" s="1"/>
  <c r="C28" i="61"/>
  <c r="E24" i="61"/>
  <c r="I24" i="61" s="1"/>
  <c r="J24" i="61" s="1"/>
  <c r="T23" i="61"/>
  <c r="X23" i="61" s="1"/>
  <c r="E14" i="61"/>
  <c r="I14" i="61" s="1"/>
  <c r="I7" i="61"/>
  <c r="T6" i="61"/>
  <c r="I6" i="61"/>
  <c r="J31" i="61" s="1"/>
  <c r="R2" i="61"/>
  <c r="Y106" i="60"/>
  <c r="T104" i="60"/>
  <c r="T103" i="60"/>
  <c r="X103" i="60" s="1"/>
  <c r="I103" i="60"/>
  <c r="T102" i="60"/>
  <c r="V102" i="60" s="1"/>
  <c r="V103" i="60" s="1"/>
  <c r="I102" i="60"/>
  <c r="G102" i="60"/>
  <c r="G103" i="60" s="1"/>
  <c r="I98" i="60"/>
  <c r="E98" i="60"/>
  <c r="I97" i="60"/>
  <c r="X96" i="60" s="1"/>
  <c r="Y96" i="60" s="1"/>
  <c r="E97" i="60"/>
  <c r="T92" i="60"/>
  <c r="G92" i="60"/>
  <c r="V92" i="60" s="1"/>
  <c r="D92" i="60"/>
  <c r="V91" i="60"/>
  <c r="T91" i="60"/>
  <c r="G91" i="60"/>
  <c r="T90" i="60"/>
  <c r="G90" i="60"/>
  <c r="V90" i="60" s="1"/>
  <c r="G87" i="60"/>
  <c r="V87" i="60" s="1"/>
  <c r="G86" i="60"/>
  <c r="V86" i="60" s="1"/>
  <c r="G85" i="60"/>
  <c r="V85" i="60" s="1"/>
  <c r="G84" i="60"/>
  <c r="V83" i="60" s="1"/>
  <c r="J82" i="60"/>
  <c r="Y81" i="60" s="1"/>
  <c r="J81" i="60"/>
  <c r="Y80" i="60"/>
  <c r="G72" i="60"/>
  <c r="G71" i="60"/>
  <c r="V70" i="60" s="1"/>
  <c r="G70" i="60"/>
  <c r="V69" i="60" s="1"/>
  <c r="G68" i="60"/>
  <c r="V67" i="60" s="1"/>
  <c r="I65" i="60"/>
  <c r="X64" i="60" s="1"/>
  <c r="I62" i="60"/>
  <c r="X61" i="60" s="1"/>
  <c r="I59" i="60"/>
  <c r="X58" i="60" s="1"/>
  <c r="I56" i="60"/>
  <c r="X55" i="60" s="1"/>
  <c r="I53" i="60"/>
  <c r="X52" i="60" s="1"/>
  <c r="T50" i="60"/>
  <c r="D50" i="60"/>
  <c r="E46" i="60" s="1"/>
  <c r="C50" i="60"/>
  <c r="I49" i="60"/>
  <c r="X49" i="60" s="1"/>
  <c r="Y49" i="60" s="1"/>
  <c r="I48" i="60"/>
  <c r="X48" i="60" s="1"/>
  <c r="Y48" i="60" s="1"/>
  <c r="I47" i="60"/>
  <c r="X47" i="60" s="1"/>
  <c r="Y47" i="60" s="1"/>
  <c r="I46" i="60"/>
  <c r="X46" i="60" s="1"/>
  <c r="Y46" i="60" s="1"/>
  <c r="I45" i="60"/>
  <c r="X45" i="60" s="1"/>
  <c r="Y45" i="60" s="1"/>
  <c r="I44" i="60"/>
  <c r="X44" i="60" s="1"/>
  <c r="Y44" i="60" s="1"/>
  <c r="I43" i="60"/>
  <c r="X43" i="60" s="1"/>
  <c r="Y43" i="60" s="1"/>
  <c r="I42" i="60"/>
  <c r="X42" i="60" s="1"/>
  <c r="Y42" i="60" s="1"/>
  <c r="I41" i="60"/>
  <c r="X41" i="60" s="1"/>
  <c r="Y41" i="60" s="1"/>
  <c r="Y50" i="60" s="1"/>
  <c r="Y37" i="60"/>
  <c r="J37" i="60"/>
  <c r="Y36" i="60"/>
  <c r="Y38" i="60" s="1"/>
  <c r="J36" i="60"/>
  <c r="J38" i="60" s="1"/>
  <c r="G32" i="60"/>
  <c r="T31" i="60"/>
  <c r="V32" i="60" s="1"/>
  <c r="D28" i="60"/>
  <c r="E23" i="60" s="1"/>
  <c r="I23" i="60" s="1"/>
  <c r="C28" i="60"/>
  <c r="T27" i="60"/>
  <c r="X27" i="60" s="1"/>
  <c r="T26" i="60"/>
  <c r="X26" i="60" s="1"/>
  <c r="T25" i="60"/>
  <c r="X25" i="60" s="1"/>
  <c r="T24" i="60"/>
  <c r="X24" i="60" s="1"/>
  <c r="Y24" i="60" s="1"/>
  <c r="T23" i="60"/>
  <c r="X23" i="60" s="1"/>
  <c r="Y23" i="60" s="1"/>
  <c r="T22" i="60"/>
  <c r="X22" i="60" s="1"/>
  <c r="Y22" i="60" s="1"/>
  <c r="T21" i="60"/>
  <c r="X21" i="60" s="1"/>
  <c r="Y21" i="60" s="1"/>
  <c r="E21" i="60"/>
  <c r="I21" i="60" s="1"/>
  <c r="J21" i="60" s="1"/>
  <c r="T20" i="60"/>
  <c r="X20" i="60" s="1"/>
  <c r="Y20" i="60" s="1"/>
  <c r="E20" i="60"/>
  <c r="I20" i="60" s="1"/>
  <c r="J20" i="60" s="1"/>
  <c r="T19" i="60"/>
  <c r="X19" i="60" s="1"/>
  <c r="Y19" i="60" s="1"/>
  <c r="T18" i="60"/>
  <c r="X18" i="60" s="1"/>
  <c r="Y18" i="60" s="1"/>
  <c r="E18" i="60"/>
  <c r="I18" i="60" s="1"/>
  <c r="J18" i="60" s="1"/>
  <c r="T17" i="60"/>
  <c r="X17" i="60" s="1"/>
  <c r="Y17" i="60" s="1"/>
  <c r="T16" i="60"/>
  <c r="X16" i="60" s="1"/>
  <c r="T15" i="60"/>
  <c r="X15" i="60" s="1"/>
  <c r="Y15" i="60" s="1"/>
  <c r="T14" i="60"/>
  <c r="X14" i="60" s="1"/>
  <c r="E14" i="60"/>
  <c r="I14" i="60" s="1"/>
  <c r="T13" i="60"/>
  <c r="T12" i="60"/>
  <c r="X12" i="60" s="1"/>
  <c r="I7" i="60"/>
  <c r="T6" i="60"/>
  <c r="I6" i="60"/>
  <c r="J31" i="60" s="1"/>
  <c r="R2" i="60"/>
  <c r="Y106" i="59"/>
  <c r="T104" i="59"/>
  <c r="T103" i="59"/>
  <c r="X103" i="59" s="1"/>
  <c r="I103" i="59"/>
  <c r="T102" i="59"/>
  <c r="X102" i="59" s="1"/>
  <c r="I102" i="59"/>
  <c r="G102" i="59"/>
  <c r="G103" i="59" s="1"/>
  <c r="I98" i="59"/>
  <c r="J98" i="59" s="1"/>
  <c r="E98" i="59"/>
  <c r="I97" i="59"/>
  <c r="X96" i="59" s="1"/>
  <c r="E97" i="59"/>
  <c r="T92" i="59"/>
  <c r="G92" i="59"/>
  <c r="V92" i="59" s="1"/>
  <c r="T91" i="59"/>
  <c r="G91" i="59"/>
  <c r="V91" i="59" s="1"/>
  <c r="T90" i="59"/>
  <c r="G90" i="59"/>
  <c r="V90" i="59" s="1"/>
  <c r="D90" i="59"/>
  <c r="G87" i="59"/>
  <c r="V87" i="59" s="1"/>
  <c r="G86" i="59"/>
  <c r="G85" i="59"/>
  <c r="V85" i="59" s="1"/>
  <c r="G84" i="59"/>
  <c r="V83" i="59" s="1"/>
  <c r="Y81" i="59"/>
  <c r="X83" i="59" s="1"/>
  <c r="J81" i="59"/>
  <c r="Y80" i="59"/>
  <c r="G72" i="59"/>
  <c r="V71" i="59" s="1"/>
  <c r="G71" i="59"/>
  <c r="V70" i="59" s="1"/>
  <c r="G70" i="59"/>
  <c r="V69" i="59" s="1"/>
  <c r="G68" i="59"/>
  <c r="V67" i="59" s="1"/>
  <c r="I65" i="59"/>
  <c r="X64" i="59" s="1"/>
  <c r="I62" i="59"/>
  <c r="X61" i="59" s="1"/>
  <c r="I59" i="59"/>
  <c r="X58" i="59" s="1"/>
  <c r="I56" i="59"/>
  <c r="X55" i="59" s="1"/>
  <c r="I53" i="59"/>
  <c r="X52" i="59" s="1"/>
  <c r="T50" i="59"/>
  <c r="D50" i="59"/>
  <c r="C50" i="59"/>
  <c r="I49" i="59"/>
  <c r="X49" i="59" s="1"/>
  <c r="Y49" i="59" s="1"/>
  <c r="I48" i="59"/>
  <c r="X48" i="59" s="1"/>
  <c r="Y48" i="59" s="1"/>
  <c r="I47" i="59"/>
  <c r="X47" i="59" s="1"/>
  <c r="Y47" i="59" s="1"/>
  <c r="I46" i="59"/>
  <c r="X46" i="59" s="1"/>
  <c r="Y46" i="59" s="1"/>
  <c r="I45" i="59"/>
  <c r="X45" i="59" s="1"/>
  <c r="Y45" i="59" s="1"/>
  <c r="I44" i="59"/>
  <c r="X44" i="59" s="1"/>
  <c r="Y44" i="59" s="1"/>
  <c r="I43" i="59"/>
  <c r="X43" i="59" s="1"/>
  <c r="Y43" i="59" s="1"/>
  <c r="I42" i="59"/>
  <c r="X42" i="59" s="1"/>
  <c r="Y42" i="59" s="1"/>
  <c r="I41" i="59"/>
  <c r="X41" i="59" s="1"/>
  <c r="Y41" i="59" s="1"/>
  <c r="Y37" i="59"/>
  <c r="J37" i="59"/>
  <c r="Y36" i="59"/>
  <c r="J36" i="59"/>
  <c r="J38" i="59" s="1"/>
  <c r="V32" i="59"/>
  <c r="J32" i="59"/>
  <c r="G32" i="59"/>
  <c r="T31" i="59"/>
  <c r="D28" i="59"/>
  <c r="E23" i="59" s="1"/>
  <c r="T23" i="59" s="1"/>
  <c r="X23" i="59" s="1"/>
  <c r="C28" i="59"/>
  <c r="I7" i="59"/>
  <c r="T6" i="59"/>
  <c r="I6" i="59"/>
  <c r="J31" i="59" s="1"/>
  <c r="Y31" i="59" s="1"/>
  <c r="Y32" i="59" s="1"/>
  <c r="R2" i="59"/>
  <c r="Y106" i="58"/>
  <c r="T104" i="58"/>
  <c r="T103" i="58"/>
  <c r="X103" i="58" s="1"/>
  <c r="I103" i="58"/>
  <c r="T102" i="58"/>
  <c r="V102" i="58" s="1"/>
  <c r="V103" i="58" s="1"/>
  <c r="I102" i="58"/>
  <c r="I104" i="58" s="1"/>
  <c r="J104" i="58" s="1"/>
  <c r="G102" i="58"/>
  <c r="G103" i="58" s="1"/>
  <c r="I98" i="58"/>
  <c r="X97" i="58" s="1"/>
  <c r="Y97" i="58" s="1"/>
  <c r="E98" i="58"/>
  <c r="I97" i="58"/>
  <c r="X96" i="58" s="1"/>
  <c r="E97" i="58"/>
  <c r="T92" i="58"/>
  <c r="G92" i="58"/>
  <c r="V92" i="58" s="1"/>
  <c r="T91" i="58"/>
  <c r="G91" i="58"/>
  <c r="V91" i="58" s="1"/>
  <c r="T90" i="58"/>
  <c r="G90" i="58"/>
  <c r="V90" i="58" s="1"/>
  <c r="G87" i="58"/>
  <c r="V87" i="58" s="1"/>
  <c r="G86" i="58"/>
  <c r="V86" i="58" s="1"/>
  <c r="G85" i="58"/>
  <c r="V85" i="58" s="1"/>
  <c r="G84" i="58"/>
  <c r="V83" i="58" s="1"/>
  <c r="J82" i="58"/>
  <c r="Y81" i="58" s="1"/>
  <c r="X83" i="58" s="1"/>
  <c r="J81" i="58"/>
  <c r="Y80" i="58"/>
  <c r="G72" i="58"/>
  <c r="G71" i="58"/>
  <c r="V70" i="58" s="1"/>
  <c r="G70" i="58"/>
  <c r="V69" i="58" s="1"/>
  <c r="G68" i="58"/>
  <c r="V67" i="58" s="1"/>
  <c r="I65" i="58"/>
  <c r="X64" i="58" s="1"/>
  <c r="I62" i="58"/>
  <c r="X61" i="58" s="1"/>
  <c r="I59" i="58"/>
  <c r="X58" i="58" s="1"/>
  <c r="I56" i="58"/>
  <c r="X55" i="58" s="1"/>
  <c r="I53" i="58"/>
  <c r="X52" i="58" s="1"/>
  <c r="T50" i="58"/>
  <c r="D50" i="58"/>
  <c r="E46" i="58" s="1"/>
  <c r="C50" i="58"/>
  <c r="I49" i="58"/>
  <c r="X49" i="58" s="1"/>
  <c r="Y49" i="58" s="1"/>
  <c r="I48" i="58"/>
  <c r="X48" i="58" s="1"/>
  <c r="Y48" i="58" s="1"/>
  <c r="I47" i="58"/>
  <c r="X47" i="58" s="1"/>
  <c r="Y47" i="58" s="1"/>
  <c r="I46" i="58"/>
  <c r="X46" i="58" s="1"/>
  <c r="Y46" i="58" s="1"/>
  <c r="I45" i="58"/>
  <c r="X45" i="58" s="1"/>
  <c r="Y45" i="58" s="1"/>
  <c r="I44" i="58"/>
  <c r="X44" i="58" s="1"/>
  <c r="Y44" i="58" s="1"/>
  <c r="I43" i="58"/>
  <c r="X43" i="58" s="1"/>
  <c r="Y43" i="58" s="1"/>
  <c r="I42" i="58"/>
  <c r="X42" i="58" s="1"/>
  <c r="Y42" i="58" s="1"/>
  <c r="I41" i="58"/>
  <c r="X41" i="58" s="1"/>
  <c r="Y41" i="58" s="1"/>
  <c r="J37" i="58"/>
  <c r="J36" i="58"/>
  <c r="G32" i="58"/>
  <c r="T31" i="58"/>
  <c r="V32" i="58" s="1"/>
  <c r="D28" i="58"/>
  <c r="E20" i="58" s="1"/>
  <c r="I20" i="58" s="1"/>
  <c r="C28" i="58"/>
  <c r="T20" i="58"/>
  <c r="X20" i="58" s="1"/>
  <c r="Y20" i="58" s="1"/>
  <c r="I7" i="58"/>
  <c r="T6" i="58"/>
  <c r="I6" i="58"/>
  <c r="J31" i="58" s="1"/>
  <c r="R2" i="58"/>
  <c r="P122" i="57"/>
  <c r="O122" i="57"/>
  <c r="N122" i="57"/>
  <c r="M122" i="57"/>
  <c r="L122" i="57"/>
  <c r="K122" i="57"/>
  <c r="J122" i="57"/>
  <c r="I122" i="57"/>
  <c r="H122" i="57"/>
  <c r="G122" i="57"/>
  <c r="E122" i="57"/>
  <c r="D122" i="57"/>
  <c r="Q118" i="57"/>
  <c r="Q117" i="57"/>
  <c r="Q116" i="57"/>
  <c r="Q115" i="57"/>
  <c r="Q114" i="57"/>
  <c r="Q113" i="57"/>
  <c r="Q112" i="57"/>
  <c r="Q111" i="57"/>
  <c r="Q109" i="57"/>
  <c r="Q108" i="57"/>
  <c r="Q107" i="57"/>
  <c r="Q106" i="57"/>
  <c r="Q105" i="57"/>
  <c r="Q104" i="57"/>
  <c r="Q103" i="57"/>
  <c r="Q102" i="57"/>
  <c r="Q101" i="57"/>
  <c r="Q100" i="57"/>
  <c r="Q99" i="57"/>
  <c r="Q98" i="57"/>
  <c r="Q97" i="57"/>
  <c r="Q96" i="57"/>
  <c r="Q95" i="57"/>
  <c r="Q94" i="57"/>
  <c r="Q93" i="57"/>
  <c r="Q92" i="57"/>
  <c r="Q91" i="57"/>
  <c r="Q90" i="57"/>
  <c r="Q89" i="57"/>
  <c r="Q88" i="57"/>
  <c r="Q87" i="57"/>
  <c r="Q86" i="57"/>
  <c r="Q85" i="57"/>
  <c r="Q84" i="57"/>
  <c r="Q83" i="57"/>
  <c r="Q82" i="57"/>
  <c r="Q81" i="57"/>
  <c r="Q80" i="57"/>
  <c r="Q79" i="57"/>
  <c r="Q78" i="57"/>
  <c r="Q77" i="57"/>
  <c r="Q76" i="57"/>
  <c r="Q75" i="57"/>
  <c r="Q74" i="57"/>
  <c r="Q73" i="57"/>
  <c r="Q72" i="57"/>
  <c r="Q71" i="57"/>
  <c r="R122" i="57"/>
  <c r="P55" i="57"/>
  <c r="O55" i="57"/>
  <c r="N55" i="57"/>
  <c r="M55" i="57"/>
  <c r="L55" i="57"/>
  <c r="K55" i="57"/>
  <c r="J55" i="57"/>
  <c r="I55" i="57"/>
  <c r="H55" i="57"/>
  <c r="J60" i="57"/>
  <c r="F55" i="57"/>
  <c r="E55" i="57"/>
  <c r="R54" i="57"/>
  <c r="Q53" i="57"/>
  <c r="Q52" i="57"/>
  <c r="Q51" i="57"/>
  <c r="Q50" i="57"/>
  <c r="Q49" i="57"/>
  <c r="Q48" i="57"/>
  <c r="Q47" i="57"/>
  <c r="Q46" i="57"/>
  <c r="Q45" i="57"/>
  <c r="Q44" i="57"/>
  <c r="Q43" i="57"/>
  <c r="Q42" i="57"/>
  <c r="Q41" i="57"/>
  <c r="Q40" i="57"/>
  <c r="Q39" i="57"/>
  <c r="Q38" i="57"/>
  <c r="Q37" i="57"/>
  <c r="Q36" i="57"/>
  <c r="Q35" i="57"/>
  <c r="Q34" i="57"/>
  <c r="Q33" i="57"/>
  <c r="Q32" i="57"/>
  <c r="Q31" i="57"/>
  <c r="Q30" i="57"/>
  <c r="Q29" i="57"/>
  <c r="Q28" i="57"/>
  <c r="Q27" i="57"/>
  <c r="Q26" i="57"/>
  <c r="Q25" i="57"/>
  <c r="Q24" i="57"/>
  <c r="Q23" i="57"/>
  <c r="Q22" i="57"/>
  <c r="Q21" i="57"/>
  <c r="Q20" i="57"/>
  <c r="Q19" i="57"/>
  <c r="Q18" i="57"/>
  <c r="Q17" i="57"/>
  <c r="Q16" i="57"/>
  <c r="Q15" i="57"/>
  <c r="Q14" i="57"/>
  <c r="Q13" i="57"/>
  <c r="Q12" i="57"/>
  <c r="Q11" i="57"/>
  <c r="Q10" i="57"/>
  <c r="Q9" i="57"/>
  <c r="Q8" i="57"/>
  <c r="Q7" i="57"/>
  <c r="Q6" i="57"/>
  <c r="I140" i="56"/>
  <c r="H137" i="56"/>
  <c r="E137" i="56"/>
  <c r="H136" i="56"/>
  <c r="F136" i="56"/>
  <c r="H135" i="56"/>
  <c r="D133" i="56"/>
  <c r="C133" i="56"/>
  <c r="D118" i="56"/>
  <c r="F112" i="56"/>
  <c r="F110" i="56"/>
  <c r="I109" i="56"/>
  <c r="K92" i="56"/>
  <c r="L92" i="56" s="1"/>
  <c r="K54" i="56"/>
  <c r="D44" i="56"/>
  <c r="C44" i="56"/>
  <c r="D43" i="56"/>
  <c r="C43" i="56"/>
  <c r="D42" i="56"/>
  <c r="C42" i="56"/>
  <c r="D41" i="56"/>
  <c r="C41" i="56"/>
  <c r="D40" i="56"/>
  <c r="C40" i="56"/>
  <c r="D39" i="56"/>
  <c r="C39" i="56"/>
  <c r="I31" i="56"/>
  <c r="E135" i="56"/>
  <c r="I135" i="56" s="1"/>
  <c r="D12" i="56"/>
  <c r="D58" i="56" s="1"/>
  <c r="C12" i="56"/>
  <c r="C58" i="56" s="1"/>
  <c r="D11" i="56"/>
  <c r="D37" i="56" s="1"/>
  <c r="C11" i="56"/>
  <c r="C37" i="56" s="1"/>
  <c r="I10" i="56"/>
  <c r="H9" i="56"/>
  <c r="H8" i="56"/>
  <c r="C8" i="56"/>
  <c r="A3" i="56"/>
  <c r="E54" i="54"/>
  <c r="V54" i="54" s="1"/>
  <c r="D54" i="54"/>
  <c r="U54" i="54" s="1"/>
  <c r="E53" i="54"/>
  <c r="V53" i="54" s="1"/>
  <c r="D53" i="54"/>
  <c r="U53" i="54" s="1"/>
  <c r="E52" i="54"/>
  <c r="V52" i="54" s="1"/>
  <c r="D52" i="54"/>
  <c r="U52" i="54" s="1"/>
  <c r="V51" i="54"/>
  <c r="E51" i="54"/>
  <c r="D51" i="54"/>
  <c r="U51" i="54" s="1"/>
  <c r="W51" i="54" s="1"/>
  <c r="E50" i="54"/>
  <c r="D50" i="54"/>
  <c r="U50" i="54" s="1"/>
  <c r="U49" i="54"/>
  <c r="E49" i="54"/>
  <c r="V49" i="54" s="1"/>
  <c r="D49" i="54"/>
  <c r="E48" i="54"/>
  <c r="V48" i="54" s="1"/>
  <c r="D48" i="54"/>
  <c r="U48" i="54" s="1"/>
  <c r="E47" i="54"/>
  <c r="V47" i="54" s="1"/>
  <c r="D47" i="54"/>
  <c r="U47" i="54" s="1"/>
  <c r="E46" i="54"/>
  <c r="D46" i="54"/>
  <c r="E45" i="54"/>
  <c r="V45" i="54" s="1"/>
  <c r="D45" i="54"/>
  <c r="U45" i="54" s="1"/>
  <c r="V44" i="54"/>
  <c r="U44" i="54"/>
  <c r="E44" i="54"/>
  <c r="D44" i="54"/>
  <c r="E43" i="54"/>
  <c r="V43" i="54" s="1"/>
  <c r="D43" i="54"/>
  <c r="U43" i="54" s="1"/>
  <c r="E42" i="54"/>
  <c r="V42" i="54" s="1"/>
  <c r="D42" i="54"/>
  <c r="E41" i="54"/>
  <c r="V41" i="54" s="1"/>
  <c r="D41" i="54"/>
  <c r="U41" i="54" s="1"/>
  <c r="E40" i="54"/>
  <c r="V40" i="54" s="1"/>
  <c r="D40" i="54"/>
  <c r="U40" i="54" s="1"/>
  <c r="E39" i="54"/>
  <c r="V39" i="54" s="1"/>
  <c r="D39" i="54"/>
  <c r="U39" i="54" s="1"/>
  <c r="V38" i="54"/>
  <c r="E38" i="54"/>
  <c r="D38" i="54"/>
  <c r="E37" i="54"/>
  <c r="V37" i="54" s="1"/>
  <c r="D37" i="54"/>
  <c r="E36" i="54"/>
  <c r="V36" i="54" s="1"/>
  <c r="D36" i="54"/>
  <c r="U36" i="54" s="1"/>
  <c r="U35" i="54"/>
  <c r="E35" i="54"/>
  <c r="V35" i="54" s="1"/>
  <c r="D35" i="54"/>
  <c r="V34" i="54"/>
  <c r="E34" i="54"/>
  <c r="D34" i="54"/>
  <c r="U34" i="54" s="1"/>
  <c r="E33" i="54"/>
  <c r="D33" i="54"/>
  <c r="E32" i="54"/>
  <c r="V32" i="54" s="1"/>
  <c r="D32" i="54"/>
  <c r="V31" i="54"/>
  <c r="U31" i="54"/>
  <c r="E31" i="54"/>
  <c r="D31" i="54"/>
  <c r="E30" i="54"/>
  <c r="V30" i="54" s="1"/>
  <c r="D30" i="54"/>
  <c r="U30" i="54" s="1"/>
  <c r="E29" i="54"/>
  <c r="V29" i="54" s="1"/>
  <c r="D29" i="54"/>
  <c r="V28" i="54"/>
  <c r="U28" i="54"/>
  <c r="E28" i="54"/>
  <c r="D28" i="54"/>
  <c r="E27" i="54"/>
  <c r="V27" i="54" s="1"/>
  <c r="D27" i="54"/>
  <c r="E26" i="54"/>
  <c r="V26" i="54" s="1"/>
  <c r="D26" i="54"/>
  <c r="U26" i="54" s="1"/>
  <c r="E25" i="54"/>
  <c r="D25" i="54"/>
  <c r="U25" i="54" s="1"/>
  <c r="E24" i="54"/>
  <c r="V24" i="54" s="1"/>
  <c r="D24" i="54"/>
  <c r="U24" i="54" s="1"/>
  <c r="E23" i="54"/>
  <c r="V23" i="54" s="1"/>
  <c r="D23" i="54"/>
  <c r="V22" i="54"/>
  <c r="U22" i="54"/>
  <c r="E22" i="54"/>
  <c r="D22" i="54"/>
  <c r="E21" i="54"/>
  <c r="V21" i="54" s="1"/>
  <c r="D21" i="54"/>
  <c r="U21" i="54" s="1"/>
  <c r="E20" i="54"/>
  <c r="D20" i="54"/>
  <c r="E19" i="54"/>
  <c r="V19" i="54" s="1"/>
  <c r="D19" i="54"/>
  <c r="U19" i="54" s="1"/>
  <c r="E18" i="54"/>
  <c r="V18" i="54" s="1"/>
  <c r="D18" i="54"/>
  <c r="E17" i="54"/>
  <c r="D17" i="54"/>
  <c r="U17" i="54" s="1"/>
  <c r="E16" i="54"/>
  <c r="D16" i="54"/>
  <c r="U16" i="54" s="1"/>
  <c r="U15" i="54"/>
  <c r="E15" i="54"/>
  <c r="D15" i="54"/>
  <c r="E14" i="54"/>
  <c r="V14" i="54" s="1"/>
  <c r="D14" i="54"/>
  <c r="E13" i="54"/>
  <c r="V13" i="54" s="1"/>
  <c r="D13" i="54"/>
  <c r="U13" i="54" s="1"/>
  <c r="E12" i="54"/>
  <c r="D12" i="54"/>
  <c r="U12" i="54" s="1"/>
  <c r="U11" i="54"/>
  <c r="E11" i="54"/>
  <c r="D11" i="54"/>
  <c r="E10" i="54"/>
  <c r="D10" i="54"/>
  <c r="U10" i="54" s="1"/>
  <c r="E9" i="54"/>
  <c r="V9" i="54" s="1"/>
  <c r="D9" i="54"/>
  <c r="E8" i="54"/>
  <c r="V8" i="54" s="1"/>
  <c r="D8" i="54"/>
  <c r="V7" i="54"/>
  <c r="U7" i="54"/>
  <c r="V6" i="54"/>
  <c r="U6" i="54"/>
  <c r="Y81" i="2"/>
  <c r="E27" i="82" l="1"/>
  <c r="I27" i="82" s="1"/>
  <c r="J27" i="82" s="1"/>
  <c r="D90" i="82"/>
  <c r="Y27" i="82"/>
  <c r="J46" i="82"/>
  <c r="D92" i="82"/>
  <c r="J102" i="82"/>
  <c r="Y24" i="82"/>
  <c r="Y17" i="82"/>
  <c r="E18" i="82"/>
  <c r="I18" i="82" s="1"/>
  <c r="J18" i="82" s="1"/>
  <c r="Y18" i="82"/>
  <c r="Y19" i="82"/>
  <c r="E20" i="82"/>
  <c r="I20" i="82" s="1"/>
  <c r="J20" i="82" s="1"/>
  <c r="J97" i="82"/>
  <c r="X102" i="82"/>
  <c r="X104" i="82" s="1"/>
  <c r="Y104" i="82" s="1"/>
  <c r="Y26" i="82"/>
  <c r="I104" i="82"/>
  <c r="J104" i="82" s="1"/>
  <c r="Y15" i="82"/>
  <c r="Y20" i="82"/>
  <c r="Y103" i="82"/>
  <c r="Y25" i="82"/>
  <c r="J23" i="82"/>
  <c r="Y50" i="82"/>
  <c r="E21" i="82"/>
  <c r="I21" i="82" s="1"/>
  <c r="J21" i="82" s="1"/>
  <c r="Y21" i="82"/>
  <c r="Y22" i="82"/>
  <c r="I84" i="82"/>
  <c r="Y25" i="85"/>
  <c r="Y26" i="85"/>
  <c r="Y27" i="85"/>
  <c r="J31" i="85"/>
  <c r="J97" i="88"/>
  <c r="I84" i="88"/>
  <c r="J102" i="88"/>
  <c r="Y24" i="88"/>
  <c r="Y26" i="88"/>
  <c r="E27" i="88"/>
  <c r="I27" i="88" s="1"/>
  <c r="J27" i="88" s="1"/>
  <c r="D90" i="88"/>
  <c r="I104" i="88"/>
  <c r="J104" i="88" s="1"/>
  <c r="E14" i="88"/>
  <c r="I14" i="88" s="1"/>
  <c r="J14" i="88" s="1"/>
  <c r="Y27" i="88"/>
  <c r="J46" i="88"/>
  <c r="Y25" i="88"/>
  <c r="E17" i="88"/>
  <c r="I17" i="88" s="1"/>
  <c r="J17" i="88" s="1"/>
  <c r="X83" i="88"/>
  <c r="Y83" i="88" s="1"/>
  <c r="J24" i="88"/>
  <c r="D92" i="88"/>
  <c r="Y18" i="88"/>
  <c r="Y38" i="88"/>
  <c r="Y15" i="88"/>
  <c r="J23" i="88"/>
  <c r="Y17" i="88"/>
  <c r="E18" i="88"/>
  <c r="I18" i="88" s="1"/>
  <c r="J18" i="88" s="1"/>
  <c r="Y19" i="88"/>
  <c r="Y26" i="89"/>
  <c r="J98" i="89"/>
  <c r="D90" i="89"/>
  <c r="X102" i="89"/>
  <c r="J23" i="89"/>
  <c r="J46" i="89"/>
  <c r="Y15" i="89"/>
  <c r="J43" i="89"/>
  <c r="J102" i="89"/>
  <c r="Y17" i="89"/>
  <c r="Y18" i="89"/>
  <c r="Y38" i="89"/>
  <c r="Y19" i="89"/>
  <c r="Y27" i="89"/>
  <c r="J20" i="89"/>
  <c r="D92" i="89"/>
  <c r="Y97" i="89"/>
  <c r="Y25" i="89"/>
  <c r="J27" i="89"/>
  <c r="Y20" i="89"/>
  <c r="Y50" i="89"/>
  <c r="J21" i="89"/>
  <c r="J102" i="103"/>
  <c r="Y38" i="103"/>
  <c r="J103" i="103"/>
  <c r="E24" i="103"/>
  <c r="I24" i="103" s="1"/>
  <c r="J24" i="103" s="1"/>
  <c r="D92" i="103"/>
  <c r="I104" i="103"/>
  <c r="J104" i="103" s="1"/>
  <c r="X97" i="103"/>
  <c r="Y97" i="103" s="1"/>
  <c r="Y26" i="103"/>
  <c r="Y23" i="103"/>
  <c r="J27" i="103"/>
  <c r="X96" i="103"/>
  <c r="Y96" i="103" s="1"/>
  <c r="Y25" i="103"/>
  <c r="Y27" i="103"/>
  <c r="Y102" i="103"/>
  <c r="J15" i="103"/>
  <c r="Y24" i="103"/>
  <c r="J25" i="103"/>
  <c r="Y15" i="103"/>
  <c r="J23" i="103"/>
  <c r="J46" i="103"/>
  <c r="J97" i="104"/>
  <c r="X83" i="104"/>
  <c r="V102" i="104"/>
  <c r="V103" i="104" s="1"/>
  <c r="D90" i="104"/>
  <c r="Y15" i="104"/>
  <c r="J23" i="104"/>
  <c r="Y96" i="104"/>
  <c r="J24" i="104"/>
  <c r="Y27" i="104"/>
  <c r="I84" i="104"/>
  <c r="J84" i="104" s="1"/>
  <c r="Y24" i="104"/>
  <c r="Y97" i="104"/>
  <c r="Y25" i="104"/>
  <c r="Y26" i="104"/>
  <c r="J102" i="104"/>
  <c r="Y13" i="104"/>
  <c r="J27" i="104"/>
  <c r="J46" i="104"/>
  <c r="Y17" i="104"/>
  <c r="Y15" i="105"/>
  <c r="J98" i="105"/>
  <c r="D90" i="105"/>
  <c r="Y18" i="105"/>
  <c r="X102" i="105"/>
  <c r="Y103" i="105"/>
  <c r="J23" i="105"/>
  <c r="J97" i="105"/>
  <c r="Y97" i="105"/>
  <c r="J32" i="105"/>
  <c r="Y21" i="105"/>
  <c r="Y23" i="105"/>
  <c r="D92" i="105"/>
  <c r="Y27" i="105"/>
  <c r="E18" i="105"/>
  <c r="I18" i="105" s="1"/>
  <c r="J18" i="105" s="1"/>
  <c r="J102" i="105"/>
  <c r="E19" i="105"/>
  <c r="I19" i="105" s="1"/>
  <c r="J19" i="105" s="1"/>
  <c r="Y19" i="105"/>
  <c r="Y20" i="105"/>
  <c r="Y22" i="105"/>
  <c r="Y24" i="105"/>
  <c r="Y25" i="105"/>
  <c r="J27" i="105"/>
  <c r="Y17" i="105"/>
  <c r="Y26" i="105"/>
  <c r="X104" i="102"/>
  <c r="Y104" i="102" s="1"/>
  <c r="Y20" i="102"/>
  <c r="J97" i="102"/>
  <c r="Y21" i="102"/>
  <c r="J102" i="102"/>
  <c r="V102" i="102"/>
  <c r="V103" i="102" s="1"/>
  <c r="Y103" i="102" s="1"/>
  <c r="J17" i="102"/>
  <c r="J27" i="102"/>
  <c r="X97" i="102"/>
  <c r="Y23" i="102"/>
  <c r="J24" i="102"/>
  <c r="I104" i="102"/>
  <c r="J104" i="102" s="1"/>
  <c r="J23" i="102"/>
  <c r="Y38" i="102"/>
  <c r="Y18" i="102"/>
  <c r="J31" i="102"/>
  <c r="D92" i="102"/>
  <c r="T24" i="101"/>
  <c r="X24" i="101" s="1"/>
  <c r="Y24" i="101" s="1"/>
  <c r="X83" i="101"/>
  <c r="J98" i="101"/>
  <c r="E27" i="101"/>
  <c r="I84" i="101"/>
  <c r="J84" i="101" s="1"/>
  <c r="Y97" i="101"/>
  <c r="T14" i="101"/>
  <c r="X14" i="101" s="1"/>
  <c r="T20" i="101"/>
  <c r="X20" i="101" s="1"/>
  <c r="Y20" i="101" s="1"/>
  <c r="T21" i="101"/>
  <c r="X21" i="101" s="1"/>
  <c r="Y21" i="101" s="1"/>
  <c r="J46" i="101"/>
  <c r="J23" i="101"/>
  <c r="D90" i="101"/>
  <c r="I104" i="101"/>
  <c r="J104" i="101" s="1"/>
  <c r="E19" i="100"/>
  <c r="I19" i="100" s="1"/>
  <c r="J19" i="100" s="1"/>
  <c r="Y23" i="100"/>
  <c r="Y97" i="100"/>
  <c r="E17" i="100"/>
  <c r="I17" i="100" s="1"/>
  <c r="J17" i="100" s="1"/>
  <c r="E21" i="100"/>
  <c r="I21" i="100" s="1"/>
  <c r="J21" i="100" s="1"/>
  <c r="E23" i="100"/>
  <c r="I23" i="100" s="1"/>
  <c r="J23" i="100" s="1"/>
  <c r="E24" i="100"/>
  <c r="I24" i="100" s="1"/>
  <c r="J24" i="100" s="1"/>
  <c r="X83" i="100"/>
  <c r="V102" i="100"/>
  <c r="V103" i="100" s="1"/>
  <c r="E20" i="100"/>
  <c r="I20" i="100" s="1"/>
  <c r="J20" i="100" s="1"/>
  <c r="Y50" i="100"/>
  <c r="Y24" i="100"/>
  <c r="J102" i="100"/>
  <c r="J105" i="100" s="1"/>
  <c r="X83" i="99"/>
  <c r="Y97" i="99"/>
  <c r="Y50" i="99"/>
  <c r="J27" i="99"/>
  <c r="Y27" i="99"/>
  <c r="J46" i="99"/>
  <c r="Y13" i="99"/>
  <c r="D90" i="99"/>
  <c r="J23" i="99"/>
  <c r="J97" i="99"/>
  <c r="J102" i="99"/>
  <c r="J105" i="99" s="1"/>
  <c r="Y15" i="99"/>
  <c r="Y25" i="99"/>
  <c r="Y26" i="99"/>
  <c r="Y17" i="99"/>
  <c r="J18" i="99"/>
  <c r="Y38" i="99"/>
  <c r="D92" i="99"/>
  <c r="Y18" i="99"/>
  <c r="Y25" i="98"/>
  <c r="Y102" i="98"/>
  <c r="X104" i="98"/>
  <c r="Y104" i="98" s="1"/>
  <c r="J46" i="98"/>
  <c r="E15" i="98"/>
  <c r="I15" i="98" s="1"/>
  <c r="J15" i="98" s="1"/>
  <c r="J102" i="98"/>
  <c r="J25" i="98"/>
  <c r="Y26" i="98"/>
  <c r="J27" i="98"/>
  <c r="I84" i="98"/>
  <c r="J84" i="98" s="1"/>
  <c r="Y97" i="98"/>
  <c r="Y13" i="98"/>
  <c r="Y27" i="98"/>
  <c r="J23" i="98"/>
  <c r="Y15" i="98"/>
  <c r="J46" i="97"/>
  <c r="E14" i="97"/>
  <c r="I14" i="97" s="1"/>
  <c r="E21" i="97"/>
  <c r="I21" i="97" s="1"/>
  <c r="J21" i="97" s="1"/>
  <c r="J97" i="97"/>
  <c r="E24" i="97"/>
  <c r="I24" i="97" s="1"/>
  <c r="J24" i="97" s="1"/>
  <c r="Y25" i="97"/>
  <c r="I84" i="97"/>
  <c r="X97" i="97"/>
  <c r="Y97" i="97" s="1"/>
  <c r="X102" i="97"/>
  <c r="X104" i="97" s="1"/>
  <c r="Y104" i="97" s="1"/>
  <c r="Y26" i="97"/>
  <c r="E27" i="97"/>
  <c r="I27" i="97" s="1"/>
  <c r="J27" i="97" s="1"/>
  <c r="Y27" i="97"/>
  <c r="I84" i="96"/>
  <c r="J98" i="96"/>
  <c r="E27" i="96"/>
  <c r="I27" i="96" s="1"/>
  <c r="J27" i="96" s="1"/>
  <c r="D90" i="96"/>
  <c r="J97" i="96"/>
  <c r="Y27" i="96"/>
  <c r="J46" i="96"/>
  <c r="J102" i="96"/>
  <c r="D92" i="96"/>
  <c r="J38" i="96"/>
  <c r="X83" i="95"/>
  <c r="Y27" i="95"/>
  <c r="J46" i="95"/>
  <c r="J23" i="95"/>
  <c r="Y15" i="95"/>
  <c r="Y17" i="95"/>
  <c r="E18" i="95"/>
  <c r="I18" i="95" s="1"/>
  <c r="J18" i="95" s="1"/>
  <c r="Y25" i="95"/>
  <c r="J27" i="95"/>
  <c r="D90" i="95"/>
  <c r="E17" i="95"/>
  <c r="I17" i="95" s="1"/>
  <c r="J17" i="95" s="1"/>
  <c r="D92" i="95"/>
  <c r="Y18" i="95"/>
  <c r="Y26" i="95"/>
  <c r="Y19" i="95"/>
  <c r="J102" i="95"/>
  <c r="Y24" i="95"/>
  <c r="J47" i="95"/>
  <c r="J20" i="95"/>
  <c r="Y50" i="95"/>
  <c r="I84" i="94"/>
  <c r="Y25" i="94"/>
  <c r="J27" i="94"/>
  <c r="E14" i="94"/>
  <c r="I14" i="94" s="1"/>
  <c r="J14" i="94" s="1"/>
  <c r="J102" i="94"/>
  <c r="J97" i="94"/>
  <c r="Y24" i="94"/>
  <c r="X83" i="94"/>
  <c r="Y83" i="94" s="1"/>
  <c r="Y97" i="94"/>
  <c r="Y26" i="94"/>
  <c r="J98" i="94"/>
  <c r="Y27" i="94"/>
  <c r="J46" i="94"/>
  <c r="J23" i="94"/>
  <c r="Y96" i="94"/>
  <c r="Y15" i="94"/>
  <c r="D90" i="94"/>
  <c r="X104" i="93"/>
  <c r="Y104" i="93" s="1"/>
  <c r="J27" i="93"/>
  <c r="V102" i="93"/>
  <c r="V103" i="93" s="1"/>
  <c r="Y27" i="93"/>
  <c r="J46" i="93"/>
  <c r="D90" i="93"/>
  <c r="Y13" i="93"/>
  <c r="J23" i="93"/>
  <c r="Y25" i="93"/>
  <c r="J102" i="93"/>
  <c r="J105" i="93" s="1"/>
  <c r="D92" i="93"/>
  <c r="Y26" i="93"/>
  <c r="I104" i="93"/>
  <c r="J104" i="93" s="1"/>
  <c r="Y15" i="93"/>
  <c r="Y17" i="93"/>
  <c r="Y18" i="93"/>
  <c r="Y19" i="93"/>
  <c r="J20" i="93"/>
  <c r="Y22" i="93"/>
  <c r="Y50" i="93"/>
  <c r="Y20" i="93"/>
  <c r="Y21" i="93"/>
  <c r="Y23" i="93"/>
  <c r="I84" i="93"/>
  <c r="Y15" i="92"/>
  <c r="Y96" i="92"/>
  <c r="Y17" i="92"/>
  <c r="Y50" i="92"/>
  <c r="J97" i="92"/>
  <c r="D92" i="92"/>
  <c r="Y18" i="92"/>
  <c r="Y19" i="92"/>
  <c r="I84" i="92"/>
  <c r="Y20" i="92"/>
  <c r="Y21" i="92"/>
  <c r="Y22" i="92"/>
  <c r="J102" i="92"/>
  <c r="Y23" i="92"/>
  <c r="D90" i="92"/>
  <c r="Y26" i="92"/>
  <c r="I104" i="92"/>
  <c r="J104" i="92" s="1"/>
  <c r="J23" i="92"/>
  <c r="Y24" i="92"/>
  <c r="Y25" i="92"/>
  <c r="Y27" i="92"/>
  <c r="J46" i="92"/>
  <c r="J42" i="91"/>
  <c r="J98" i="91"/>
  <c r="Y25" i="91"/>
  <c r="J47" i="91"/>
  <c r="J102" i="91"/>
  <c r="J26" i="91"/>
  <c r="J49" i="91"/>
  <c r="J27" i="91"/>
  <c r="D90" i="91"/>
  <c r="Y27" i="91"/>
  <c r="J27" i="90"/>
  <c r="E14" i="90"/>
  <c r="I14" i="90" s="1"/>
  <c r="Y17" i="90"/>
  <c r="Y18" i="90"/>
  <c r="Y19" i="90"/>
  <c r="Y22" i="90"/>
  <c r="E24" i="90"/>
  <c r="I24" i="90" s="1"/>
  <c r="J24" i="90" s="1"/>
  <c r="J97" i="90"/>
  <c r="J23" i="90"/>
  <c r="X102" i="90"/>
  <c r="X104" i="90" s="1"/>
  <c r="Y104" i="90" s="1"/>
  <c r="D92" i="90"/>
  <c r="Y21" i="90"/>
  <c r="Y23" i="90"/>
  <c r="Y24" i="90"/>
  <c r="Y27" i="90"/>
  <c r="J102" i="90"/>
  <c r="Y13" i="90"/>
  <c r="D90" i="90"/>
  <c r="Y15" i="90"/>
  <c r="Y20" i="90"/>
  <c r="Y25" i="90"/>
  <c r="X104" i="87"/>
  <c r="Y104" i="87" s="1"/>
  <c r="J47" i="87"/>
  <c r="Y27" i="87"/>
  <c r="J98" i="87"/>
  <c r="J23" i="87"/>
  <c r="V102" i="87"/>
  <c r="V103" i="87" s="1"/>
  <c r="Y103" i="87" s="1"/>
  <c r="J84" i="87"/>
  <c r="J102" i="87"/>
  <c r="Y13" i="87"/>
  <c r="E14" i="87"/>
  <c r="I14" i="87" s="1"/>
  <c r="J38" i="87"/>
  <c r="D92" i="87"/>
  <c r="Y22" i="87"/>
  <c r="Y23" i="87"/>
  <c r="I104" i="86"/>
  <c r="J104" i="86" s="1"/>
  <c r="E23" i="86"/>
  <c r="I23" i="86" s="1"/>
  <c r="J23" i="86" s="1"/>
  <c r="X83" i="86"/>
  <c r="X97" i="86"/>
  <c r="Y97" i="86" s="1"/>
  <c r="J48" i="86"/>
  <c r="Y26" i="86"/>
  <c r="Y27" i="86"/>
  <c r="J25" i="86"/>
  <c r="J42" i="86"/>
  <c r="D90" i="86"/>
  <c r="J98" i="85"/>
  <c r="X83" i="85"/>
  <c r="Y83" i="85" s="1"/>
  <c r="Y103" i="85"/>
  <c r="J46" i="85"/>
  <c r="X102" i="85"/>
  <c r="D90" i="85"/>
  <c r="J103" i="85"/>
  <c r="J105" i="85" s="1"/>
  <c r="Y38" i="85"/>
  <c r="Y15" i="85"/>
  <c r="Y19" i="85"/>
  <c r="Y21" i="85"/>
  <c r="J97" i="85"/>
  <c r="D92" i="85"/>
  <c r="Y18" i="85"/>
  <c r="J102" i="85"/>
  <c r="J23" i="85"/>
  <c r="Y23" i="85"/>
  <c r="Y17" i="85"/>
  <c r="Y20" i="85"/>
  <c r="Y22" i="85"/>
  <c r="Y24" i="85"/>
  <c r="I84" i="85"/>
  <c r="J84" i="85" s="1"/>
  <c r="X104" i="84"/>
  <c r="Y104" i="84" s="1"/>
  <c r="J24" i="84"/>
  <c r="Y24" i="84"/>
  <c r="Y25" i="84"/>
  <c r="X97" i="84"/>
  <c r="Y26" i="84"/>
  <c r="Y27" i="84"/>
  <c r="Y15" i="84"/>
  <c r="J102" i="84"/>
  <c r="V102" i="84"/>
  <c r="V103" i="84" s="1"/>
  <c r="D90" i="84"/>
  <c r="Y23" i="84"/>
  <c r="Y17" i="84"/>
  <c r="E18" i="84"/>
  <c r="I18" i="84" s="1"/>
  <c r="J18" i="84" s="1"/>
  <c r="Y18" i="84"/>
  <c r="J38" i="84"/>
  <c r="Y103" i="84"/>
  <c r="J27" i="84"/>
  <c r="E17" i="84"/>
  <c r="I17" i="84" s="1"/>
  <c r="J17" i="84" s="1"/>
  <c r="Y19" i="84"/>
  <c r="Y38" i="84"/>
  <c r="I104" i="84"/>
  <c r="J104" i="84" s="1"/>
  <c r="Y26" i="83"/>
  <c r="J27" i="83"/>
  <c r="J47" i="83"/>
  <c r="Y27" i="83"/>
  <c r="E17" i="83"/>
  <c r="I17" i="83" s="1"/>
  <c r="J17" i="83" s="1"/>
  <c r="J102" i="83"/>
  <c r="Y25" i="83"/>
  <c r="J97" i="83"/>
  <c r="J23" i="83"/>
  <c r="X83" i="83"/>
  <c r="Y15" i="83"/>
  <c r="Y97" i="83"/>
  <c r="J32" i="83"/>
  <c r="Y17" i="83"/>
  <c r="Y18" i="83"/>
  <c r="Y19" i="83"/>
  <c r="Y38" i="83"/>
  <c r="D90" i="83"/>
  <c r="X102" i="81"/>
  <c r="J27" i="81"/>
  <c r="D90" i="81"/>
  <c r="J103" i="81"/>
  <c r="Y27" i="81"/>
  <c r="J46" i="81"/>
  <c r="J23" i="81"/>
  <c r="X83" i="81"/>
  <c r="Y15" i="81"/>
  <c r="D92" i="81"/>
  <c r="J18" i="81"/>
  <c r="Y25" i="81"/>
  <c r="I84" i="81"/>
  <c r="J84" i="81" s="1"/>
  <c r="J102" i="81"/>
  <c r="Y24" i="81"/>
  <c r="Y26" i="81"/>
  <c r="Y17" i="81"/>
  <c r="Y18" i="81"/>
  <c r="Y19" i="81"/>
  <c r="E20" i="81"/>
  <c r="I20" i="81" s="1"/>
  <c r="J20" i="81" s="1"/>
  <c r="J97" i="81"/>
  <c r="E17" i="80"/>
  <c r="I17" i="80" s="1"/>
  <c r="J17" i="80" s="1"/>
  <c r="E18" i="80"/>
  <c r="I18" i="80" s="1"/>
  <c r="J18" i="80" s="1"/>
  <c r="Y18" i="80"/>
  <c r="Y38" i="80"/>
  <c r="Y50" i="80"/>
  <c r="X83" i="80"/>
  <c r="J31" i="80"/>
  <c r="E24" i="80"/>
  <c r="I24" i="80" s="1"/>
  <c r="J24" i="80" s="1"/>
  <c r="J102" i="80"/>
  <c r="E20" i="80"/>
  <c r="I20" i="80" s="1"/>
  <c r="J20" i="80" s="1"/>
  <c r="E21" i="80"/>
  <c r="I21" i="80" s="1"/>
  <c r="J21" i="80" s="1"/>
  <c r="Y24" i="80"/>
  <c r="Y25" i="80"/>
  <c r="D90" i="79"/>
  <c r="X102" i="79"/>
  <c r="Y17" i="79"/>
  <c r="Y18" i="79"/>
  <c r="Y103" i="79"/>
  <c r="Y27" i="79"/>
  <c r="X97" i="79"/>
  <c r="Y97" i="79" s="1"/>
  <c r="J23" i="79"/>
  <c r="J27" i="79"/>
  <c r="D92" i="79"/>
  <c r="Y19" i="79"/>
  <c r="E20" i="79"/>
  <c r="I20" i="79" s="1"/>
  <c r="J20" i="79" s="1"/>
  <c r="Y20" i="79"/>
  <c r="J102" i="79"/>
  <c r="J105" i="79" s="1"/>
  <c r="Y15" i="79"/>
  <c r="E14" i="79"/>
  <c r="I14" i="79" s="1"/>
  <c r="J14" i="79" s="1"/>
  <c r="Y21" i="79"/>
  <c r="Y22" i="79"/>
  <c r="Y23" i="79"/>
  <c r="Y24" i="79"/>
  <c r="Y25" i="79"/>
  <c r="J97" i="79"/>
  <c r="J97" i="78"/>
  <c r="I84" i="78"/>
  <c r="Y22" i="78"/>
  <c r="J98" i="78"/>
  <c r="Y23" i="78"/>
  <c r="X102" i="78"/>
  <c r="X104" i="78" s="1"/>
  <c r="Y104" i="78" s="1"/>
  <c r="E27" i="78"/>
  <c r="I27" i="78" s="1"/>
  <c r="J27" i="78" s="1"/>
  <c r="Y27" i="78"/>
  <c r="J46" i="78"/>
  <c r="D90" i="78"/>
  <c r="Y13" i="78"/>
  <c r="I104" i="78"/>
  <c r="J104" i="78" s="1"/>
  <c r="J105" i="78" s="1"/>
  <c r="Y25" i="78"/>
  <c r="J23" i="78"/>
  <c r="Y26" i="78"/>
  <c r="Y15" i="78"/>
  <c r="J103" i="77"/>
  <c r="Y24" i="77"/>
  <c r="J46" i="77"/>
  <c r="I84" i="77"/>
  <c r="Y38" i="77"/>
  <c r="J38" i="77"/>
  <c r="D92" i="77"/>
  <c r="Y50" i="77"/>
  <c r="J102" i="77"/>
  <c r="J105" i="77" s="1"/>
  <c r="J97" i="77"/>
  <c r="J23" i="76"/>
  <c r="Y50" i="76"/>
  <c r="D92" i="76"/>
  <c r="J102" i="76"/>
  <c r="E17" i="76"/>
  <c r="I84" i="76"/>
  <c r="J103" i="76"/>
  <c r="T23" i="76"/>
  <c r="X23" i="76" s="1"/>
  <c r="Y23" i="76" s="1"/>
  <c r="D90" i="76"/>
  <c r="J43" i="75"/>
  <c r="Y97" i="75"/>
  <c r="Y103" i="75"/>
  <c r="Y24" i="75"/>
  <c r="Y25" i="75"/>
  <c r="J47" i="75"/>
  <c r="Y26" i="75"/>
  <c r="D90" i="75"/>
  <c r="J27" i="75"/>
  <c r="Y27" i="75"/>
  <c r="I104" i="75"/>
  <c r="J104" i="75" s="1"/>
  <c r="J23" i="75"/>
  <c r="J46" i="75"/>
  <c r="E27" i="74"/>
  <c r="I27" i="74" s="1"/>
  <c r="J27" i="74" s="1"/>
  <c r="E14" i="74"/>
  <c r="I14" i="74" s="1"/>
  <c r="J14" i="74" s="1"/>
  <c r="X83" i="74"/>
  <c r="V83" i="74"/>
  <c r="J23" i="74"/>
  <c r="Y15" i="74"/>
  <c r="E17" i="74"/>
  <c r="I17" i="74" s="1"/>
  <c r="J17" i="74" s="1"/>
  <c r="I84" i="74"/>
  <c r="J84" i="74" s="1"/>
  <c r="D92" i="74"/>
  <c r="Y26" i="74"/>
  <c r="Y17" i="74"/>
  <c r="Y18" i="74"/>
  <c r="Y19" i="74"/>
  <c r="Y38" i="74"/>
  <c r="J102" i="74"/>
  <c r="J105" i="74" s="1"/>
  <c r="Y50" i="74"/>
  <c r="Y27" i="74"/>
  <c r="J46" i="74"/>
  <c r="J20" i="74"/>
  <c r="Y20" i="74"/>
  <c r="Y25" i="74"/>
  <c r="Y21" i="74"/>
  <c r="J97" i="74"/>
  <c r="Y22" i="74"/>
  <c r="Y50" i="73"/>
  <c r="I84" i="73"/>
  <c r="Y26" i="73"/>
  <c r="J97" i="73"/>
  <c r="Y27" i="73"/>
  <c r="J46" i="73"/>
  <c r="Y24" i="73"/>
  <c r="J23" i="73"/>
  <c r="Y25" i="73"/>
  <c r="Y12" i="73"/>
  <c r="Y17" i="72"/>
  <c r="Y18" i="72"/>
  <c r="J43" i="72"/>
  <c r="X83" i="72"/>
  <c r="J24" i="72"/>
  <c r="Y25" i="72"/>
  <c r="J27" i="72"/>
  <c r="D90" i="72"/>
  <c r="Y27" i="72"/>
  <c r="J46" i="72"/>
  <c r="Y15" i="72"/>
  <c r="J23" i="72"/>
  <c r="E17" i="72"/>
  <c r="I17" i="72" s="1"/>
  <c r="J17" i="72" s="1"/>
  <c r="Y19" i="72"/>
  <c r="J102" i="72"/>
  <c r="Y24" i="72"/>
  <c r="Y26" i="72"/>
  <c r="D92" i="72"/>
  <c r="E18" i="72"/>
  <c r="I18" i="72" s="1"/>
  <c r="J18" i="72" s="1"/>
  <c r="E20" i="72"/>
  <c r="I20" i="72" s="1"/>
  <c r="J20" i="72" s="1"/>
  <c r="Y20" i="72"/>
  <c r="Y50" i="72"/>
  <c r="Y18" i="71"/>
  <c r="Y20" i="71"/>
  <c r="J97" i="71"/>
  <c r="J98" i="71"/>
  <c r="J102" i="71"/>
  <c r="Y27" i="71"/>
  <c r="J31" i="71"/>
  <c r="Y31" i="71" s="1"/>
  <c r="Y32" i="71" s="1"/>
  <c r="D90" i="71"/>
  <c r="J21" i="70"/>
  <c r="Y23" i="70"/>
  <c r="Y25" i="70"/>
  <c r="Y17" i="70"/>
  <c r="E18" i="70"/>
  <c r="I18" i="70" s="1"/>
  <c r="J18" i="70" s="1"/>
  <c r="D92" i="70"/>
  <c r="X83" i="70"/>
  <c r="J24" i="70"/>
  <c r="V102" i="70"/>
  <c r="V103" i="70" s="1"/>
  <c r="Y26" i="70"/>
  <c r="J103" i="70"/>
  <c r="Y27" i="70"/>
  <c r="J46" i="70"/>
  <c r="Y15" i="70"/>
  <c r="J23" i="70"/>
  <c r="Y18" i="70"/>
  <c r="J38" i="70"/>
  <c r="J102" i="70"/>
  <c r="J105" i="70" s="1"/>
  <c r="Y24" i="70"/>
  <c r="J27" i="70"/>
  <c r="D90" i="70"/>
  <c r="E17" i="70"/>
  <c r="I17" i="70" s="1"/>
  <c r="J17" i="70" s="1"/>
  <c r="E19" i="70"/>
  <c r="I19" i="70" s="1"/>
  <c r="J19" i="70" s="1"/>
  <c r="Y38" i="70"/>
  <c r="D90" i="69"/>
  <c r="J38" i="69"/>
  <c r="X104" i="69"/>
  <c r="Y104" i="69" s="1"/>
  <c r="D92" i="69"/>
  <c r="E18" i="69"/>
  <c r="T18" i="69" s="1"/>
  <c r="X18" i="69" s="1"/>
  <c r="Y18" i="69" s="1"/>
  <c r="J98" i="69"/>
  <c r="J102" i="69"/>
  <c r="Y17" i="69"/>
  <c r="Y24" i="69"/>
  <c r="Y27" i="69"/>
  <c r="Y23" i="69"/>
  <c r="I84" i="69"/>
  <c r="J21" i="69"/>
  <c r="D92" i="68"/>
  <c r="J97" i="68"/>
  <c r="Y50" i="68"/>
  <c r="E14" i="68"/>
  <c r="I14" i="68" s="1"/>
  <c r="X104" i="67"/>
  <c r="Y104" i="67" s="1"/>
  <c r="V102" i="67"/>
  <c r="V103" i="67" s="1"/>
  <c r="Y103" i="67"/>
  <c r="J102" i="67"/>
  <c r="I84" i="67"/>
  <c r="J84" i="67" s="1"/>
  <c r="J23" i="66"/>
  <c r="D90" i="66"/>
  <c r="Y38" i="66"/>
  <c r="J102" i="66"/>
  <c r="E17" i="66"/>
  <c r="I104" i="66"/>
  <c r="J104" i="66" s="1"/>
  <c r="I84" i="66"/>
  <c r="J84" i="66" s="1"/>
  <c r="J97" i="66"/>
  <c r="J27" i="66"/>
  <c r="T12" i="66"/>
  <c r="X12" i="66" s="1"/>
  <c r="Y12" i="66" s="1"/>
  <c r="T27" i="66"/>
  <c r="X27" i="66" s="1"/>
  <c r="Y27" i="66" s="1"/>
  <c r="E20" i="66"/>
  <c r="T23" i="66"/>
  <c r="X23" i="66" s="1"/>
  <c r="Y23" i="66" s="1"/>
  <c r="T14" i="66"/>
  <c r="X14" i="66" s="1"/>
  <c r="E24" i="66"/>
  <c r="J31" i="66"/>
  <c r="Y31" i="66" s="1"/>
  <c r="Y32" i="66" s="1"/>
  <c r="T96" i="66"/>
  <c r="Y96" i="66" s="1"/>
  <c r="J102" i="65"/>
  <c r="D90" i="65"/>
  <c r="J23" i="65"/>
  <c r="E14" i="65"/>
  <c r="I14" i="65" s="1"/>
  <c r="D92" i="65"/>
  <c r="X83" i="65"/>
  <c r="Y26" i="65"/>
  <c r="X102" i="65"/>
  <c r="Y27" i="65"/>
  <c r="J46" i="65"/>
  <c r="I104" i="65"/>
  <c r="J104" i="65" s="1"/>
  <c r="J27" i="65"/>
  <c r="Y15" i="65"/>
  <c r="Y17" i="65"/>
  <c r="Y18" i="65"/>
  <c r="Y19" i="65"/>
  <c r="E14" i="64"/>
  <c r="I14" i="64" s="1"/>
  <c r="J38" i="64"/>
  <c r="Y38" i="64"/>
  <c r="J97" i="63"/>
  <c r="E20" i="63"/>
  <c r="I20" i="63" s="1"/>
  <c r="J20" i="63" s="1"/>
  <c r="I23" i="63"/>
  <c r="J23" i="63" s="1"/>
  <c r="I84" i="63"/>
  <c r="J17" i="63"/>
  <c r="J27" i="63"/>
  <c r="Y23" i="63"/>
  <c r="J103" i="63"/>
  <c r="J105" i="63" s="1"/>
  <c r="X104" i="62"/>
  <c r="Y104" i="62" s="1"/>
  <c r="E17" i="62"/>
  <c r="T17" i="62" s="1"/>
  <c r="X17" i="62" s="1"/>
  <c r="Y17" i="62" s="1"/>
  <c r="J97" i="62"/>
  <c r="Y18" i="62"/>
  <c r="D92" i="62"/>
  <c r="J20" i="62"/>
  <c r="E27" i="62"/>
  <c r="T27" i="62" s="1"/>
  <c r="X27" i="62" s="1"/>
  <c r="Y27" i="62" s="1"/>
  <c r="Y21" i="62"/>
  <c r="I84" i="62"/>
  <c r="J23" i="62"/>
  <c r="Y23" i="62"/>
  <c r="V102" i="62"/>
  <c r="V103" i="62" s="1"/>
  <c r="Y103" i="62" s="1"/>
  <c r="J24" i="62"/>
  <c r="D90" i="62"/>
  <c r="J23" i="61"/>
  <c r="I84" i="61"/>
  <c r="T24" i="61"/>
  <c r="X24" i="61" s="1"/>
  <c r="Y24" i="61" s="1"/>
  <c r="J47" i="61"/>
  <c r="D90" i="61"/>
  <c r="E18" i="61"/>
  <c r="E20" i="61"/>
  <c r="D92" i="61"/>
  <c r="J102" i="61"/>
  <c r="Y102" i="61"/>
  <c r="T14" i="61"/>
  <c r="Y23" i="61"/>
  <c r="J97" i="61"/>
  <c r="J97" i="60"/>
  <c r="I84" i="60"/>
  <c r="J102" i="60"/>
  <c r="X102" i="60"/>
  <c r="Y25" i="60"/>
  <c r="E27" i="60"/>
  <c r="I27" i="60" s="1"/>
  <c r="J27" i="60" s="1"/>
  <c r="D90" i="60"/>
  <c r="Y27" i="60"/>
  <c r="J46" i="60"/>
  <c r="I104" i="60"/>
  <c r="J104" i="60" s="1"/>
  <c r="J98" i="60"/>
  <c r="X83" i="60"/>
  <c r="Y83" i="60" s="1"/>
  <c r="Y26" i="60"/>
  <c r="J23" i="60"/>
  <c r="X104" i="59"/>
  <c r="D92" i="59"/>
  <c r="J102" i="59"/>
  <c r="I104" i="59"/>
  <c r="J104" i="59" s="1"/>
  <c r="J97" i="59"/>
  <c r="V102" i="59"/>
  <c r="V103" i="59" s="1"/>
  <c r="Y103" i="59" s="1"/>
  <c r="X97" i="59"/>
  <c r="Y97" i="59" s="1"/>
  <c r="Y23" i="59"/>
  <c r="X102" i="58"/>
  <c r="X104" i="58" s="1"/>
  <c r="Y104" i="58" s="1"/>
  <c r="J46" i="58"/>
  <c r="D92" i="58"/>
  <c r="I84" i="58"/>
  <c r="J102" i="58"/>
  <c r="J97" i="58"/>
  <c r="J20" i="58"/>
  <c r="E14" i="58"/>
  <c r="Y50" i="58"/>
  <c r="T96" i="58"/>
  <c r="R55" i="57"/>
  <c r="J58" i="57"/>
  <c r="J59" i="57" s="1"/>
  <c r="J61" i="57" s="1"/>
  <c r="Q55" i="57"/>
  <c r="I137" i="56"/>
  <c r="J38" i="82"/>
  <c r="J38" i="80"/>
  <c r="C57" i="56"/>
  <c r="D57" i="56"/>
  <c r="C68" i="56"/>
  <c r="D68" i="56"/>
  <c r="Q122" i="57"/>
  <c r="E20" i="105"/>
  <c r="I20" i="105" s="1"/>
  <c r="J20" i="105" s="1"/>
  <c r="E21" i="105"/>
  <c r="I21" i="105" s="1"/>
  <c r="J21" i="105" s="1"/>
  <c r="E22" i="105"/>
  <c r="I22" i="105" s="1"/>
  <c r="J22" i="105" s="1"/>
  <c r="E12" i="105"/>
  <c r="I12" i="105" s="1"/>
  <c r="J12" i="105" s="1"/>
  <c r="E14" i="105"/>
  <c r="I14" i="105" s="1"/>
  <c r="J14" i="105" s="1"/>
  <c r="E24" i="105"/>
  <c r="I24" i="105" s="1"/>
  <c r="J24" i="105" s="1"/>
  <c r="E15" i="105"/>
  <c r="I15" i="105" s="1"/>
  <c r="J15" i="105" s="1"/>
  <c r="E25" i="105"/>
  <c r="I25" i="105" s="1"/>
  <c r="J25" i="105" s="1"/>
  <c r="E17" i="105"/>
  <c r="I17" i="105" s="1"/>
  <c r="J17" i="105" s="1"/>
  <c r="Y50" i="105"/>
  <c r="S92" i="105"/>
  <c r="X92" i="105" s="1"/>
  <c r="Y16" i="105"/>
  <c r="Y83" i="105"/>
  <c r="T28" i="105"/>
  <c r="X13" i="105"/>
  <c r="Y13" i="105" s="1"/>
  <c r="J103" i="105"/>
  <c r="I84" i="105"/>
  <c r="J84" i="105" s="1"/>
  <c r="Y12" i="105"/>
  <c r="S91" i="105"/>
  <c r="X91" i="105" s="1"/>
  <c r="Y14" i="105"/>
  <c r="E46" i="105"/>
  <c r="J46" i="105" s="1"/>
  <c r="E42" i="105"/>
  <c r="J42" i="105" s="1"/>
  <c r="E49" i="105"/>
  <c r="J49" i="105" s="1"/>
  <c r="E45" i="105"/>
  <c r="J45" i="105" s="1"/>
  <c r="E41" i="105"/>
  <c r="E48" i="105"/>
  <c r="J48" i="105" s="1"/>
  <c r="E44" i="105"/>
  <c r="J44" i="105" s="1"/>
  <c r="E43" i="105"/>
  <c r="J43" i="105" s="1"/>
  <c r="V86" i="105"/>
  <c r="D91" i="105"/>
  <c r="E16" i="105"/>
  <c r="I16" i="105" s="1"/>
  <c r="E26" i="105"/>
  <c r="I26" i="105" s="1"/>
  <c r="J26" i="105" s="1"/>
  <c r="E13" i="105"/>
  <c r="E17" i="104"/>
  <c r="I17" i="104" s="1"/>
  <c r="J17" i="104" s="1"/>
  <c r="J14" i="104"/>
  <c r="X104" i="104"/>
  <c r="Y104" i="104" s="1"/>
  <c r="Y102" i="104"/>
  <c r="S91" i="104"/>
  <c r="X91" i="104" s="1"/>
  <c r="Y14" i="104"/>
  <c r="Y12" i="104"/>
  <c r="X28" i="104"/>
  <c r="V33" i="104" s="1"/>
  <c r="T55" i="104" s="1"/>
  <c r="X56" i="104" s="1"/>
  <c r="S90" i="104"/>
  <c r="J103" i="104"/>
  <c r="J105" i="104" s="1"/>
  <c r="S92" i="104"/>
  <c r="X92" i="104" s="1"/>
  <c r="Y16" i="104"/>
  <c r="Y103" i="104"/>
  <c r="Y83" i="104"/>
  <c r="Y31" i="104"/>
  <c r="Y32" i="104" s="1"/>
  <c r="J32" i="104"/>
  <c r="J98" i="104"/>
  <c r="E44" i="104"/>
  <c r="J44" i="104" s="1"/>
  <c r="E48" i="104"/>
  <c r="J48" i="104" s="1"/>
  <c r="V69" i="104"/>
  <c r="V85" i="104"/>
  <c r="E15" i="104"/>
  <c r="I15" i="104" s="1"/>
  <c r="J15" i="104" s="1"/>
  <c r="E25" i="104"/>
  <c r="I25" i="104" s="1"/>
  <c r="J25" i="104" s="1"/>
  <c r="E12" i="104"/>
  <c r="E22" i="104"/>
  <c r="I22" i="104" s="1"/>
  <c r="J22" i="104" s="1"/>
  <c r="V71" i="104"/>
  <c r="V87" i="104"/>
  <c r="T28" i="104"/>
  <c r="E41" i="104"/>
  <c r="E45" i="104"/>
  <c r="J45" i="104" s="1"/>
  <c r="E49" i="104"/>
  <c r="J49" i="104" s="1"/>
  <c r="E43" i="104"/>
  <c r="J43" i="104" s="1"/>
  <c r="E47" i="104"/>
  <c r="J47" i="104" s="1"/>
  <c r="D91" i="104"/>
  <c r="E16" i="104"/>
  <c r="I16" i="104" s="1"/>
  <c r="E26" i="104"/>
  <c r="I26" i="104" s="1"/>
  <c r="J26" i="104" s="1"/>
  <c r="E13" i="104"/>
  <c r="I13" i="104" s="1"/>
  <c r="J13" i="104" s="1"/>
  <c r="E42" i="104"/>
  <c r="J42" i="104" s="1"/>
  <c r="T28" i="103"/>
  <c r="T64" i="103" s="1"/>
  <c r="X65" i="103" s="1"/>
  <c r="X70" i="103" s="1"/>
  <c r="Y70" i="103" s="1"/>
  <c r="E19" i="103"/>
  <c r="I19" i="103" s="1"/>
  <c r="J19" i="103" s="1"/>
  <c r="E20" i="103"/>
  <c r="I20" i="103" s="1"/>
  <c r="J20" i="103" s="1"/>
  <c r="Y31" i="103"/>
  <c r="Y32" i="103" s="1"/>
  <c r="J32" i="103"/>
  <c r="Y50" i="103"/>
  <c r="Y16" i="103"/>
  <c r="S92" i="103"/>
  <c r="X92" i="103" s="1"/>
  <c r="Y83" i="103"/>
  <c r="J12" i="103"/>
  <c r="J84" i="103"/>
  <c r="Y12" i="103"/>
  <c r="Y103" i="103"/>
  <c r="Y105" i="103" s="1"/>
  <c r="T58" i="103"/>
  <c r="X59" i="103" s="1"/>
  <c r="X71" i="103" s="1"/>
  <c r="Y71" i="103" s="1"/>
  <c r="T52" i="103"/>
  <c r="X53" i="103" s="1"/>
  <c r="T61" i="103"/>
  <c r="X62" i="103" s="1"/>
  <c r="X67" i="103" s="1"/>
  <c r="Y67" i="103" s="1"/>
  <c r="J14" i="103"/>
  <c r="S91" i="103"/>
  <c r="X91" i="103" s="1"/>
  <c r="Y14" i="103"/>
  <c r="E43" i="103"/>
  <c r="J43" i="103" s="1"/>
  <c r="E47" i="103"/>
  <c r="J47" i="103" s="1"/>
  <c r="E21" i="103"/>
  <c r="I21" i="103" s="1"/>
  <c r="J21" i="103" s="1"/>
  <c r="D90" i="103"/>
  <c r="E18" i="103"/>
  <c r="I18" i="103" s="1"/>
  <c r="J18" i="103" s="1"/>
  <c r="E44" i="103"/>
  <c r="J44" i="103" s="1"/>
  <c r="E48" i="103"/>
  <c r="J48" i="103" s="1"/>
  <c r="X13" i="103"/>
  <c r="Y13" i="103" s="1"/>
  <c r="X104" i="103"/>
  <c r="Y104" i="103" s="1"/>
  <c r="E41" i="103"/>
  <c r="E45" i="103"/>
  <c r="J45" i="103" s="1"/>
  <c r="E49" i="103"/>
  <c r="J49" i="103" s="1"/>
  <c r="V86" i="103"/>
  <c r="D91" i="103"/>
  <c r="E16" i="103"/>
  <c r="I16" i="103" s="1"/>
  <c r="E26" i="103"/>
  <c r="I26" i="103" s="1"/>
  <c r="J26" i="103" s="1"/>
  <c r="E13" i="103"/>
  <c r="E42" i="103"/>
  <c r="J42" i="103" s="1"/>
  <c r="Y96" i="102"/>
  <c r="E46" i="102"/>
  <c r="J46" i="102" s="1"/>
  <c r="E42" i="102"/>
  <c r="J42" i="102" s="1"/>
  <c r="E48" i="102"/>
  <c r="J48" i="102" s="1"/>
  <c r="E44" i="102"/>
  <c r="J44" i="102" s="1"/>
  <c r="E49" i="102"/>
  <c r="J49" i="102" s="1"/>
  <c r="E45" i="102"/>
  <c r="J45" i="102" s="1"/>
  <c r="E41" i="102"/>
  <c r="E47" i="102"/>
  <c r="J47" i="102" s="1"/>
  <c r="E43" i="102"/>
  <c r="J43" i="102" s="1"/>
  <c r="J103" i="102"/>
  <c r="Y97" i="102"/>
  <c r="Y50" i="102"/>
  <c r="J105" i="102"/>
  <c r="Y83" i="102"/>
  <c r="I84" i="102"/>
  <c r="J84" i="102" s="1"/>
  <c r="I20" i="102"/>
  <c r="J20" i="102" s="1"/>
  <c r="V87" i="102"/>
  <c r="J14" i="102"/>
  <c r="T14" i="102"/>
  <c r="X14" i="102" s="1"/>
  <c r="I21" i="102"/>
  <c r="J21" i="102" s="1"/>
  <c r="T24" i="102"/>
  <c r="X24" i="102" s="1"/>
  <c r="Y24" i="102" s="1"/>
  <c r="I18" i="102"/>
  <c r="J18" i="102" s="1"/>
  <c r="E15" i="102"/>
  <c r="E25" i="102"/>
  <c r="T17" i="102"/>
  <c r="X17" i="102" s="1"/>
  <c r="Y17" i="102" s="1"/>
  <c r="T27" i="102"/>
  <c r="X27" i="102" s="1"/>
  <c r="Y27" i="102" s="1"/>
  <c r="D91" i="102"/>
  <c r="E12" i="102"/>
  <c r="E22" i="102"/>
  <c r="V71" i="102"/>
  <c r="E16" i="102"/>
  <c r="E26" i="102"/>
  <c r="E19" i="102"/>
  <c r="E13" i="102"/>
  <c r="Y38" i="101"/>
  <c r="Y96" i="101"/>
  <c r="E17" i="101"/>
  <c r="E18" i="101"/>
  <c r="Y31" i="101"/>
  <c r="Y32" i="101" s="1"/>
  <c r="J32" i="101"/>
  <c r="Y12" i="101"/>
  <c r="Y83" i="101"/>
  <c r="Y103" i="101"/>
  <c r="J14" i="101"/>
  <c r="Y14" i="101"/>
  <c r="J103" i="101"/>
  <c r="J105" i="101" s="1"/>
  <c r="V69" i="101"/>
  <c r="E19" i="101"/>
  <c r="E44" i="101"/>
  <c r="J44" i="101" s="1"/>
  <c r="E48" i="101"/>
  <c r="J48" i="101" s="1"/>
  <c r="V85" i="101"/>
  <c r="X102" i="101"/>
  <c r="E12" i="101"/>
  <c r="T12" i="101" s="1"/>
  <c r="X12" i="101" s="1"/>
  <c r="E22" i="101"/>
  <c r="D91" i="101"/>
  <c r="E16" i="101"/>
  <c r="E26" i="101"/>
  <c r="E43" i="101"/>
  <c r="J43" i="101" s="1"/>
  <c r="E47" i="101"/>
  <c r="J47" i="101" s="1"/>
  <c r="E41" i="101"/>
  <c r="E45" i="101"/>
  <c r="J45" i="101" s="1"/>
  <c r="E49" i="101"/>
  <c r="J49" i="101" s="1"/>
  <c r="E15" i="101"/>
  <c r="E25" i="101"/>
  <c r="E13" i="101"/>
  <c r="E42" i="101"/>
  <c r="J42" i="101" s="1"/>
  <c r="Y96" i="100"/>
  <c r="T28" i="100"/>
  <c r="T61" i="100" s="1"/>
  <c r="X62" i="100" s="1"/>
  <c r="X67" i="100" s="1"/>
  <c r="Y67" i="100" s="1"/>
  <c r="E18" i="100"/>
  <c r="I18" i="100" s="1"/>
  <c r="J18" i="100" s="1"/>
  <c r="J14" i="100"/>
  <c r="S91" i="100"/>
  <c r="X91" i="100" s="1"/>
  <c r="Y14" i="100"/>
  <c r="X104" i="100"/>
  <c r="Y104" i="100" s="1"/>
  <c r="Y102" i="100"/>
  <c r="Y12" i="100"/>
  <c r="Y103" i="100"/>
  <c r="Y31" i="100"/>
  <c r="Y32" i="100" s="1"/>
  <c r="J32" i="100"/>
  <c r="S92" i="100"/>
  <c r="X92" i="100" s="1"/>
  <c r="Y16" i="100"/>
  <c r="J103" i="100"/>
  <c r="Y83" i="100"/>
  <c r="J84" i="100"/>
  <c r="E44" i="100"/>
  <c r="J44" i="100" s="1"/>
  <c r="E48" i="100"/>
  <c r="J48" i="100" s="1"/>
  <c r="J98" i="100"/>
  <c r="E15" i="100"/>
  <c r="I15" i="100" s="1"/>
  <c r="J15" i="100" s="1"/>
  <c r="E25" i="100"/>
  <c r="I25" i="100" s="1"/>
  <c r="J25" i="100" s="1"/>
  <c r="E12" i="100"/>
  <c r="E22" i="100"/>
  <c r="I22" i="100" s="1"/>
  <c r="J22" i="100" s="1"/>
  <c r="V71" i="100"/>
  <c r="E47" i="100"/>
  <c r="J47" i="100" s="1"/>
  <c r="E43" i="100"/>
  <c r="J43" i="100" s="1"/>
  <c r="X13" i="100"/>
  <c r="Y13" i="100" s="1"/>
  <c r="D91" i="100"/>
  <c r="E41" i="100"/>
  <c r="E45" i="100"/>
  <c r="J45" i="100" s="1"/>
  <c r="E49" i="100"/>
  <c r="J49" i="100" s="1"/>
  <c r="E16" i="100"/>
  <c r="I16" i="100" s="1"/>
  <c r="E42" i="100"/>
  <c r="J42" i="100" s="1"/>
  <c r="Y96" i="99"/>
  <c r="E24" i="99"/>
  <c r="I24" i="99" s="1"/>
  <c r="J24" i="99" s="1"/>
  <c r="E17" i="99"/>
  <c r="I17" i="99" s="1"/>
  <c r="J17" i="99" s="1"/>
  <c r="Y12" i="99"/>
  <c r="X28" i="99"/>
  <c r="V33" i="99" s="1"/>
  <c r="T55" i="99" s="1"/>
  <c r="X56" i="99" s="1"/>
  <c r="S90" i="99"/>
  <c r="Y83" i="99"/>
  <c r="Y31" i="99"/>
  <c r="Y32" i="99" s="1"/>
  <c r="J32" i="99"/>
  <c r="J14" i="99"/>
  <c r="S91" i="99"/>
  <c r="X91" i="99" s="1"/>
  <c r="Y14" i="99"/>
  <c r="Y103" i="99"/>
  <c r="Y16" i="99"/>
  <c r="S92" i="99"/>
  <c r="X92" i="99" s="1"/>
  <c r="J84" i="99"/>
  <c r="J103" i="99"/>
  <c r="V87" i="99"/>
  <c r="V85" i="99"/>
  <c r="X102" i="99"/>
  <c r="E12" i="99"/>
  <c r="E22" i="99"/>
  <c r="I22" i="99" s="1"/>
  <c r="J22" i="99" s="1"/>
  <c r="V71" i="99"/>
  <c r="E15" i="99"/>
  <c r="I15" i="99" s="1"/>
  <c r="J15" i="99" s="1"/>
  <c r="E25" i="99"/>
  <c r="I25" i="99" s="1"/>
  <c r="J25" i="99" s="1"/>
  <c r="T28" i="99"/>
  <c r="E41" i="99"/>
  <c r="E45" i="99"/>
  <c r="J45" i="99" s="1"/>
  <c r="E49" i="99"/>
  <c r="J49" i="99" s="1"/>
  <c r="E19" i="99"/>
  <c r="I19" i="99" s="1"/>
  <c r="J19" i="99" s="1"/>
  <c r="D91" i="99"/>
  <c r="E16" i="99"/>
  <c r="I16" i="99" s="1"/>
  <c r="E26" i="99"/>
  <c r="I26" i="99" s="1"/>
  <c r="J26" i="99" s="1"/>
  <c r="J98" i="99"/>
  <c r="E44" i="99"/>
  <c r="J44" i="99" s="1"/>
  <c r="E48" i="99"/>
  <c r="J48" i="99" s="1"/>
  <c r="E43" i="99"/>
  <c r="J43" i="99" s="1"/>
  <c r="E47" i="99"/>
  <c r="J47" i="99" s="1"/>
  <c r="E13" i="99"/>
  <c r="I13" i="99" s="1"/>
  <c r="J13" i="99" s="1"/>
  <c r="E42" i="99"/>
  <c r="J42" i="99" s="1"/>
  <c r="Y96" i="98"/>
  <c r="E18" i="98"/>
  <c r="I18" i="98" s="1"/>
  <c r="J18" i="98" s="1"/>
  <c r="E20" i="98"/>
  <c r="I20" i="98" s="1"/>
  <c r="J20" i="98" s="1"/>
  <c r="E21" i="98"/>
  <c r="I21" i="98" s="1"/>
  <c r="J21" i="98" s="1"/>
  <c r="S91" i="98"/>
  <c r="X91" i="98" s="1"/>
  <c r="Y14" i="98"/>
  <c r="S92" i="98"/>
  <c r="X92" i="98" s="1"/>
  <c r="Y16" i="98"/>
  <c r="Y83" i="98"/>
  <c r="Y103" i="98"/>
  <c r="Y105" i="98" s="1"/>
  <c r="Y31" i="98"/>
  <c r="Y32" i="98" s="1"/>
  <c r="J32" i="98"/>
  <c r="X28" i="98"/>
  <c r="V33" i="98" s="1"/>
  <c r="T55" i="98" s="1"/>
  <c r="X56" i="98" s="1"/>
  <c r="Y12" i="98"/>
  <c r="S90" i="98"/>
  <c r="J14" i="98"/>
  <c r="J103" i="98"/>
  <c r="J105" i="98" s="1"/>
  <c r="Y50" i="98"/>
  <c r="V85" i="98"/>
  <c r="E12" i="98"/>
  <c r="E22" i="98"/>
  <c r="I22" i="98" s="1"/>
  <c r="J22" i="98" s="1"/>
  <c r="T28" i="98"/>
  <c r="E41" i="98"/>
  <c r="E45" i="98"/>
  <c r="J45" i="98" s="1"/>
  <c r="E49" i="98"/>
  <c r="J49" i="98" s="1"/>
  <c r="D91" i="98"/>
  <c r="E16" i="98"/>
  <c r="I16" i="98" s="1"/>
  <c r="E26" i="98"/>
  <c r="I26" i="98" s="1"/>
  <c r="J26" i="98" s="1"/>
  <c r="V87" i="98"/>
  <c r="E44" i="98"/>
  <c r="J44" i="98" s="1"/>
  <c r="E48" i="98"/>
  <c r="J48" i="98" s="1"/>
  <c r="E43" i="98"/>
  <c r="J43" i="98" s="1"/>
  <c r="E47" i="98"/>
  <c r="J47" i="98" s="1"/>
  <c r="E19" i="98"/>
  <c r="I19" i="98" s="1"/>
  <c r="J19" i="98" s="1"/>
  <c r="E13" i="98"/>
  <c r="I13" i="98" s="1"/>
  <c r="J13" i="98" s="1"/>
  <c r="E42" i="98"/>
  <c r="J42" i="98" s="1"/>
  <c r="J38" i="97"/>
  <c r="Y96" i="97"/>
  <c r="E17" i="97"/>
  <c r="I17" i="97" s="1"/>
  <c r="J17" i="97" s="1"/>
  <c r="E18" i="97"/>
  <c r="I18" i="97" s="1"/>
  <c r="J18" i="97" s="1"/>
  <c r="E20" i="97"/>
  <c r="I20" i="97" s="1"/>
  <c r="J20" i="97" s="1"/>
  <c r="Y12" i="97"/>
  <c r="X28" i="97"/>
  <c r="S90" i="97"/>
  <c r="Y83" i="97"/>
  <c r="J14" i="97"/>
  <c r="J84" i="97"/>
  <c r="S91" i="97"/>
  <c r="X91" i="97" s="1"/>
  <c r="Y14" i="97"/>
  <c r="J105" i="97"/>
  <c r="Y31" i="97"/>
  <c r="Y32" i="97" s="1"/>
  <c r="J32" i="97"/>
  <c r="Y16" i="97"/>
  <c r="S92" i="97"/>
  <c r="X92" i="97" s="1"/>
  <c r="Y102" i="97"/>
  <c r="V33" i="97"/>
  <c r="T55" i="97" s="1"/>
  <c r="X56" i="97" s="1"/>
  <c r="Y103" i="97"/>
  <c r="Y50" i="97"/>
  <c r="V87" i="97"/>
  <c r="E15" i="97"/>
  <c r="I15" i="97" s="1"/>
  <c r="J15" i="97" s="1"/>
  <c r="E25" i="97"/>
  <c r="I25" i="97" s="1"/>
  <c r="J25" i="97" s="1"/>
  <c r="E12" i="97"/>
  <c r="E22" i="97"/>
  <c r="I22" i="97" s="1"/>
  <c r="J22" i="97" s="1"/>
  <c r="T28" i="97"/>
  <c r="E41" i="97"/>
  <c r="E45" i="97"/>
  <c r="J45" i="97" s="1"/>
  <c r="E49" i="97"/>
  <c r="J49" i="97" s="1"/>
  <c r="D91" i="97"/>
  <c r="E16" i="97"/>
  <c r="I16" i="97" s="1"/>
  <c r="E26" i="97"/>
  <c r="I26" i="97" s="1"/>
  <c r="J26" i="97" s="1"/>
  <c r="E43" i="97"/>
  <c r="J43" i="97" s="1"/>
  <c r="E47" i="97"/>
  <c r="J47" i="97" s="1"/>
  <c r="E44" i="97"/>
  <c r="J44" i="97" s="1"/>
  <c r="E48" i="97"/>
  <c r="J48" i="97" s="1"/>
  <c r="E19" i="97"/>
  <c r="I19" i="97" s="1"/>
  <c r="J19" i="97" s="1"/>
  <c r="E13" i="97"/>
  <c r="I13" i="97" s="1"/>
  <c r="J13" i="97" s="1"/>
  <c r="E42" i="97"/>
  <c r="J42" i="97" s="1"/>
  <c r="Y96" i="96"/>
  <c r="T28" i="96"/>
  <c r="T52" i="96" s="1"/>
  <c r="X53" i="96" s="1"/>
  <c r="E17" i="96"/>
  <c r="I17" i="96" s="1"/>
  <c r="J17" i="96" s="1"/>
  <c r="E18" i="96"/>
  <c r="I18" i="96" s="1"/>
  <c r="J18" i="96" s="1"/>
  <c r="E20" i="96"/>
  <c r="I20" i="96" s="1"/>
  <c r="J20" i="96" s="1"/>
  <c r="E21" i="96"/>
  <c r="I21" i="96" s="1"/>
  <c r="J21" i="96" s="1"/>
  <c r="Y31" i="96"/>
  <c r="Y32" i="96" s="1"/>
  <c r="J32" i="96"/>
  <c r="J105" i="96"/>
  <c r="Y12" i="96"/>
  <c r="J14" i="96"/>
  <c r="X104" i="96"/>
  <c r="Y104" i="96" s="1"/>
  <c r="J103" i="96"/>
  <c r="S91" i="96"/>
  <c r="X91" i="96" s="1"/>
  <c r="Y14" i="96"/>
  <c r="Y83" i="96"/>
  <c r="Y16" i="96"/>
  <c r="S92" i="96"/>
  <c r="X92" i="96" s="1"/>
  <c r="J84" i="96"/>
  <c r="E44" i="96"/>
  <c r="J44" i="96" s="1"/>
  <c r="E48" i="96"/>
  <c r="J48" i="96" s="1"/>
  <c r="E15" i="96"/>
  <c r="I15" i="96" s="1"/>
  <c r="J15" i="96" s="1"/>
  <c r="E25" i="96"/>
  <c r="I25" i="96" s="1"/>
  <c r="J25" i="96" s="1"/>
  <c r="V102" i="96"/>
  <c r="V103" i="96" s="1"/>
  <c r="Y103" i="96" s="1"/>
  <c r="V69" i="96"/>
  <c r="X97" i="96"/>
  <c r="Y97" i="96" s="1"/>
  <c r="E43" i="96"/>
  <c r="J43" i="96" s="1"/>
  <c r="E47" i="96"/>
  <c r="J47" i="96" s="1"/>
  <c r="E12" i="96"/>
  <c r="E22" i="96"/>
  <c r="I22" i="96" s="1"/>
  <c r="J22" i="96" s="1"/>
  <c r="V71" i="96"/>
  <c r="X13" i="96"/>
  <c r="Y13" i="96" s="1"/>
  <c r="D91" i="96"/>
  <c r="E16" i="96"/>
  <c r="I16" i="96" s="1"/>
  <c r="E26" i="96"/>
  <c r="I26" i="96" s="1"/>
  <c r="J26" i="96" s="1"/>
  <c r="E41" i="96"/>
  <c r="E45" i="96"/>
  <c r="J45" i="96" s="1"/>
  <c r="E49" i="96"/>
  <c r="J49" i="96" s="1"/>
  <c r="E19" i="96"/>
  <c r="I19" i="96" s="1"/>
  <c r="J19" i="96" s="1"/>
  <c r="E13" i="96"/>
  <c r="I13" i="96" s="1"/>
  <c r="J13" i="96" s="1"/>
  <c r="E42" i="96"/>
  <c r="J42" i="96" s="1"/>
  <c r="E43" i="95"/>
  <c r="J43" i="95" s="1"/>
  <c r="T28" i="95"/>
  <c r="Y31" i="95"/>
  <c r="Y32" i="95" s="1"/>
  <c r="J32" i="95"/>
  <c r="Y83" i="95"/>
  <c r="J103" i="95"/>
  <c r="Y12" i="95"/>
  <c r="Y103" i="95"/>
  <c r="Y16" i="95"/>
  <c r="S92" i="95"/>
  <c r="X92" i="95" s="1"/>
  <c r="T58" i="95"/>
  <c r="X59" i="95" s="1"/>
  <c r="X71" i="95" s="1"/>
  <c r="T64" i="95"/>
  <c r="X65" i="95" s="1"/>
  <c r="X70" i="95" s="1"/>
  <c r="T52" i="95"/>
  <c r="X53" i="95" s="1"/>
  <c r="T61" i="95"/>
  <c r="X62" i="95" s="1"/>
  <c r="X67" i="95" s="1"/>
  <c r="Y67" i="95" s="1"/>
  <c r="J14" i="95"/>
  <c r="S91" i="95"/>
  <c r="X91" i="95" s="1"/>
  <c r="Y14" i="95"/>
  <c r="J97" i="95"/>
  <c r="J98" i="95"/>
  <c r="E21" i="95"/>
  <c r="I21" i="95" s="1"/>
  <c r="J21" i="95" s="1"/>
  <c r="V70" i="95"/>
  <c r="I84" i="95"/>
  <c r="J84" i="95" s="1"/>
  <c r="V85" i="95"/>
  <c r="X102" i="95"/>
  <c r="E15" i="95"/>
  <c r="I15" i="95" s="1"/>
  <c r="J15" i="95" s="1"/>
  <c r="E25" i="95"/>
  <c r="I25" i="95" s="1"/>
  <c r="J25" i="95" s="1"/>
  <c r="E12" i="95"/>
  <c r="E22" i="95"/>
  <c r="I22" i="95" s="1"/>
  <c r="J22" i="95" s="1"/>
  <c r="V71" i="95"/>
  <c r="V87" i="95"/>
  <c r="D91" i="95"/>
  <c r="E44" i="95"/>
  <c r="J44" i="95" s="1"/>
  <c r="E48" i="95"/>
  <c r="J48" i="95" s="1"/>
  <c r="E16" i="95"/>
  <c r="I16" i="95" s="1"/>
  <c r="E26" i="95"/>
  <c r="I26" i="95" s="1"/>
  <c r="J26" i="95" s="1"/>
  <c r="X13" i="95"/>
  <c r="Y13" i="95" s="1"/>
  <c r="E41" i="95"/>
  <c r="E45" i="95"/>
  <c r="J45" i="95" s="1"/>
  <c r="E49" i="95"/>
  <c r="J49" i="95" s="1"/>
  <c r="E19" i="95"/>
  <c r="I19" i="95" s="1"/>
  <c r="J19" i="95" s="1"/>
  <c r="E13" i="95"/>
  <c r="I13" i="95" s="1"/>
  <c r="J13" i="95" s="1"/>
  <c r="E42" i="95"/>
  <c r="J42" i="95" s="1"/>
  <c r="J38" i="94"/>
  <c r="T28" i="94"/>
  <c r="E17" i="94"/>
  <c r="I17" i="94" s="1"/>
  <c r="J17" i="94" s="1"/>
  <c r="T64" i="94"/>
  <c r="X65" i="94" s="1"/>
  <c r="X70" i="94" s="1"/>
  <c r="Y70" i="94" s="1"/>
  <c r="T52" i="94"/>
  <c r="X53" i="94" s="1"/>
  <c r="T58" i="94"/>
  <c r="X59" i="94" s="1"/>
  <c r="X71" i="94" s="1"/>
  <c r="Y71" i="94" s="1"/>
  <c r="T61" i="94"/>
  <c r="X62" i="94" s="1"/>
  <c r="X67" i="94" s="1"/>
  <c r="Y31" i="94"/>
  <c r="Y32" i="94" s="1"/>
  <c r="J32" i="94"/>
  <c r="S91" i="94"/>
  <c r="X91" i="94" s="1"/>
  <c r="Y14" i="94"/>
  <c r="Y102" i="94"/>
  <c r="X104" i="94"/>
  <c r="Y104" i="94" s="1"/>
  <c r="S92" i="94"/>
  <c r="X92" i="94" s="1"/>
  <c r="Y16" i="94"/>
  <c r="J103" i="94"/>
  <c r="J105" i="94" s="1"/>
  <c r="Y103" i="94"/>
  <c r="Y67" i="94"/>
  <c r="J84" i="94"/>
  <c r="Y12" i="94"/>
  <c r="V87" i="94"/>
  <c r="E44" i="94"/>
  <c r="J44" i="94" s="1"/>
  <c r="E48" i="94"/>
  <c r="J48" i="94" s="1"/>
  <c r="E19" i="94"/>
  <c r="I19" i="94" s="1"/>
  <c r="J19" i="94" s="1"/>
  <c r="X13" i="94"/>
  <c r="Y13" i="94" s="1"/>
  <c r="E43" i="94"/>
  <c r="J43" i="94" s="1"/>
  <c r="E47" i="94"/>
  <c r="J47" i="94" s="1"/>
  <c r="V85" i="94"/>
  <c r="E12" i="94"/>
  <c r="E22" i="94"/>
  <c r="I22" i="94" s="1"/>
  <c r="J22" i="94" s="1"/>
  <c r="E41" i="94"/>
  <c r="E49" i="94"/>
  <c r="J49" i="94" s="1"/>
  <c r="D91" i="94"/>
  <c r="E16" i="94"/>
  <c r="I16" i="94" s="1"/>
  <c r="E26" i="94"/>
  <c r="I26" i="94" s="1"/>
  <c r="J26" i="94" s="1"/>
  <c r="V102" i="94"/>
  <c r="V103" i="94" s="1"/>
  <c r="E45" i="94"/>
  <c r="J45" i="94" s="1"/>
  <c r="V69" i="94"/>
  <c r="E15" i="94"/>
  <c r="I15" i="94" s="1"/>
  <c r="J15" i="94" s="1"/>
  <c r="E25" i="94"/>
  <c r="I25" i="94" s="1"/>
  <c r="J25" i="94" s="1"/>
  <c r="E13" i="94"/>
  <c r="I13" i="94" s="1"/>
  <c r="J13" i="94" s="1"/>
  <c r="E42" i="94"/>
  <c r="J42" i="94" s="1"/>
  <c r="E47" i="93"/>
  <c r="J47" i="93" s="1"/>
  <c r="E17" i="93"/>
  <c r="I17" i="93" s="1"/>
  <c r="J17" i="93" s="1"/>
  <c r="E18" i="93"/>
  <c r="I18" i="93" s="1"/>
  <c r="J18" i="93" s="1"/>
  <c r="J14" i="93"/>
  <c r="Y31" i="93"/>
  <c r="Y32" i="93" s="1"/>
  <c r="J32" i="93"/>
  <c r="J103" i="93"/>
  <c r="S91" i="93"/>
  <c r="X91" i="93" s="1"/>
  <c r="Y14" i="93"/>
  <c r="Y16" i="93"/>
  <c r="S92" i="93"/>
  <c r="X92" i="93" s="1"/>
  <c r="Y103" i="93"/>
  <c r="Y83" i="93"/>
  <c r="J84" i="93"/>
  <c r="Y12" i="93"/>
  <c r="X28" i="93"/>
  <c r="V33" i="93" s="1"/>
  <c r="T55" i="93" s="1"/>
  <c r="X56" i="93" s="1"/>
  <c r="S90" i="93"/>
  <c r="J97" i="93"/>
  <c r="J98" i="93"/>
  <c r="E21" i="93"/>
  <c r="I21" i="93" s="1"/>
  <c r="J21" i="93" s="1"/>
  <c r="V70" i="93"/>
  <c r="V87" i="93"/>
  <c r="E44" i="93"/>
  <c r="J44" i="93" s="1"/>
  <c r="E48" i="93"/>
  <c r="J48" i="93" s="1"/>
  <c r="V85" i="93"/>
  <c r="E12" i="93"/>
  <c r="E22" i="93"/>
  <c r="I22" i="93" s="1"/>
  <c r="J22" i="93" s="1"/>
  <c r="V71" i="93"/>
  <c r="T28" i="93"/>
  <c r="E41" i="93"/>
  <c r="E45" i="93"/>
  <c r="J45" i="93" s="1"/>
  <c r="E49" i="93"/>
  <c r="J49" i="93" s="1"/>
  <c r="D91" i="93"/>
  <c r="E16" i="93"/>
  <c r="I16" i="93" s="1"/>
  <c r="E26" i="93"/>
  <c r="I26" i="93" s="1"/>
  <c r="J26" i="93" s="1"/>
  <c r="E15" i="93"/>
  <c r="I15" i="93" s="1"/>
  <c r="J15" i="93" s="1"/>
  <c r="E25" i="93"/>
  <c r="I25" i="93" s="1"/>
  <c r="J25" i="93" s="1"/>
  <c r="E19" i="93"/>
  <c r="I19" i="93" s="1"/>
  <c r="J19" i="93" s="1"/>
  <c r="E13" i="93"/>
  <c r="I13" i="93" s="1"/>
  <c r="J13" i="93" s="1"/>
  <c r="E42" i="93"/>
  <c r="J42" i="93" s="1"/>
  <c r="E17" i="92"/>
  <c r="I17" i="92" s="1"/>
  <c r="J17" i="92" s="1"/>
  <c r="E18" i="92"/>
  <c r="I18" i="92" s="1"/>
  <c r="J18" i="92" s="1"/>
  <c r="T28" i="92"/>
  <c r="T61" i="92" s="1"/>
  <c r="X62" i="92" s="1"/>
  <c r="X67" i="92" s="1"/>
  <c r="Y67" i="92" s="1"/>
  <c r="E20" i="92"/>
  <c r="I20" i="92" s="1"/>
  <c r="J20" i="92" s="1"/>
  <c r="E24" i="92"/>
  <c r="I24" i="92" s="1"/>
  <c r="J24" i="92" s="1"/>
  <c r="E27" i="92"/>
  <c r="I27" i="92" s="1"/>
  <c r="J27" i="92" s="1"/>
  <c r="E14" i="92"/>
  <c r="I14" i="92" s="1"/>
  <c r="J14" i="92" s="1"/>
  <c r="S91" i="92"/>
  <c r="X91" i="92" s="1"/>
  <c r="Y14" i="92"/>
  <c r="S92" i="92"/>
  <c r="X92" i="92" s="1"/>
  <c r="Y16" i="92"/>
  <c r="J84" i="92"/>
  <c r="J105" i="92"/>
  <c r="Y31" i="92"/>
  <c r="Y32" i="92" s="1"/>
  <c r="J32" i="92"/>
  <c r="Y103" i="92"/>
  <c r="Y12" i="92"/>
  <c r="X97" i="92"/>
  <c r="Y97" i="92" s="1"/>
  <c r="E21" i="92"/>
  <c r="I21" i="92" s="1"/>
  <c r="J21" i="92" s="1"/>
  <c r="V70" i="92"/>
  <c r="V85" i="92"/>
  <c r="X102" i="92"/>
  <c r="E15" i="92"/>
  <c r="I15" i="92" s="1"/>
  <c r="J15" i="92" s="1"/>
  <c r="E25" i="92"/>
  <c r="I25" i="92" s="1"/>
  <c r="J25" i="92" s="1"/>
  <c r="E12" i="92"/>
  <c r="E22" i="92"/>
  <c r="I22" i="92" s="1"/>
  <c r="J22" i="92" s="1"/>
  <c r="V71" i="92"/>
  <c r="X13" i="92"/>
  <c r="Y13" i="92" s="1"/>
  <c r="V83" i="92"/>
  <c r="Y83" i="92" s="1"/>
  <c r="E43" i="92"/>
  <c r="J43" i="92" s="1"/>
  <c r="E47" i="92"/>
  <c r="J47" i="92" s="1"/>
  <c r="D91" i="92"/>
  <c r="E44" i="92"/>
  <c r="J44" i="92" s="1"/>
  <c r="E48" i="92"/>
  <c r="J48" i="92" s="1"/>
  <c r="E16" i="92"/>
  <c r="I16" i="92" s="1"/>
  <c r="E26" i="92"/>
  <c r="I26" i="92" s="1"/>
  <c r="J26" i="92" s="1"/>
  <c r="E41" i="92"/>
  <c r="E45" i="92"/>
  <c r="J45" i="92" s="1"/>
  <c r="E49" i="92"/>
  <c r="J49" i="92" s="1"/>
  <c r="E19" i="92"/>
  <c r="I19" i="92" s="1"/>
  <c r="J19" i="92" s="1"/>
  <c r="E13" i="92"/>
  <c r="I13" i="92" s="1"/>
  <c r="J13" i="92" s="1"/>
  <c r="E42" i="92"/>
  <c r="J42" i="92" s="1"/>
  <c r="J38" i="90"/>
  <c r="Y96" i="91"/>
  <c r="E43" i="91"/>
  <c r="J43" i="91" s="1"/>
  <c r="E46" i="91"/>
  <c r="J46" i="91" s="1"/>
  <c r="E23" i="91"/>
  <c r="I23" i="91" s="1"/>
  <c r="J23" i="91" s="1"/>
  <c r="E24" i="91"/>
  <c r="I24" i="91" s="1"/>
  <c r="J24" i="91" s="1"/>
  <c r="E13" i="91"/>
  <c r="I13" i="91" s="1"/>
  <c r="J13" i="91" s="1"/>
  <c r="T28" i="91"/>
  <c r="T58" i="91" s="1"/>
  <c r="X59" i="91" s="1"/>
  <c r="X71" i="91" s="1"/>
  <c r="E17" i="91"/>
  <c r="I17" i="91" s="1"/>
  <c r="J17" i="91" s="1"/>
  <c r="E18" i="91"/>
  <c r="I18" i="91" s="1"/>
  <c r="J18" i="91" s="1"/>
  <c r="J32" i="91"/>
  <c r="Y31" i="91"/>
  <c r="Y32" i="91" s="1"/>
  <c r="Y12" i="91"/>
  <c r="Y83" i="91"/>
  <c r="J14" i="91"/>
  <c r="J84" i="91"/>
  <c r="Y14" i="91"/>
  <c r="S91" i="91"/>
  <c r="X91" i="91" s="1"/>
  <c r="J103" i="91"/>
  <c r="J105" i="91" s="1"/>
  <c r="Y16" i="91"/>
  <c r="S92" i="91"/>
  <c r="X92" i="91" s="1"/>
  <c r="J97" i="91"/>
  <c r="X97" i="91"/>
  <c r="Y97" i="91" s="1"/>
  <c r="X13" i="91"/>
  <c r="Y13" i="91" s="1"/>
  <c r="E21" i="91"/>
  <c r="I21" i="91" s="1"/>
  <c r="J21" i="91" s="1"/>
  <c r="V70" i="91"/>
  <c r="V85" i="91"/>
  <c r="X102" i="91"/>
  <c r="E15" i="91"/>
  <c r="I15" i="91" s="1"/>
  <c r="J15" i="91" s="1"/>
  <c r="E25" i="91"/>
  <c r="I25" i="91" s="1"/>
  <c r="J25" i="91" s="1"/>
  <c r="E12" i="91"/>
  <c r="E22" i="91"/>
  <c r="I22" i="91" s="1"/>
  <c r="J22" i="91" s="1"/>
  <c r="V71" i="91"/>
  <c r="D91" i="91"/>
  <c r="E44" i="91"/>
  <c r="J44" i="91" s="1"/>
  <c r="E48" i="91"/>
  <c r="J48" i="91" s="1"/>
  <c r="E41" i="91"/>
  <c r="E45" i="91"/>
  <c r="J45" i="91" s="1"/>
  <c r="E19" i="91"/>
  <c r="I19" i="91" s="1"/>
  <c r="J19" i="91" s="1"/>
  <c r="E16" i="91"/>
  <c r="I16" i="91" s="1"/>
  <c r="Y96" i="90"/>
  <c r="E17" i="90"/>
  <c r="I17" i="90" s="1"/>
  <c r="J17" i="90" s="1"/>
  <c r="E18" i="90"/>
  <c r="I18" i="90" s="1"/>
  <c r="J18" i="90" s="1"/>
  <c r="E20" i="90"/>
  <c r="I20" i="90" s="1"/>
  <c r="J20" i="90" s="1"/>
  <c r="E21" i="90"/>
  <c r="I21" i="90" s="1"/>
  <c r="J21" i="90" s="1"/>
  <c r="Y96" i="89"/>
  <c r="T28" i="89"/>
  <c r="T52" i="89" s="1"/>
  <c r="X53" i="89" s="1"/>
  <c r="E17" i="89"/>
  <c r="I17" i="89" s="1"/>
  <c r="J17" i="89" s="1"/>
  <c r="E18" i="89"/>
  <c r="I18" i="89" s="1"/>
  <c r="J18" i="89" s="1"/>
  <c r="Y31" i="90"/>
  <c r="Y32" i="90" s="1"/>
  <c r="J32" i="90"/>
  <c r="Y12" i="90"/>
  <c r="X28" i="90"/>
  <c r="V33" i="90" s="1"/>
  <c r="T55" i="90" s="1"/>
  <c r="X56" i="90" s="1"/>
  <c r="S90" i="90"/>
  <c r="J14" i="90"/>
  <c r="Y103" i="90"/>
  <c r="J84" i="90"/>
  <c r="S92" i="90"/>
  <c r="X92" i="90" s="1"/>
  <c r="Y16" i="90"/>
  <c r="Y102" i="90"/>
  <c r="Y105" i="90" s="1"/>
  <c r="J103" i="90"/>
  <c r="J105" i="90" s="1"/>
  <c r="Y83" i="90"/>
  <c r="S91" i="90"/>
  <c r="X91" i="90" s="1"/>
  <c r="Y14" i="90"/>
  <c r="Y50" i="90"/>
  <c r="E43" i="90"/>
  <c r="J43" i="90" s="1"/>
  <c r="E47" i="90"/>
  <c r="J47" i="90" s="1"/>
  <c r="E15" i="90"/>
  <c r="I15" i="90" s="1"/>
  <c r="J15" i="90" s="1"/>
  <c r="E25" i="90"/>
  <c r="I25" i="90" s="1"/>
  <c r="J25" i="90" s="1"/>
  <c r="E12" i="90"/>
  <c r="E22" i="90"/>
  <c r="I22" i="90" s="1"/>
  <c r="J22" i="90" s="1"/>
  <c r="T28" i="90"/>
  <c r="E41" i="90"/>
  <c r="E45" i="90"/>
  <c r="J45" i="90" s="1"/>
  <c r="E49" i="90"/>
  <c r="J49" i="90" s="1"/>
  <c r="D91" i="90"/>
  <c r="E16" i="90"/>
  <c r="I16" i="90" s="1"/>
  <c r="E26" i="90"/>
  <c r="I26" i="90" s="1"/>
  <c r="J26" i="90" s="1"/>
  <c r="E44" i="90"/>
  <c r="J44" i="90" s="1"/>
  <c r="E48" i="90"/>
  <c r="J48" i="90" s="1"/>
  <c r="E19" i="90"/>
  <c r="I19" i="90" s="1"/>
  <c r="J19" i="90" s="1"/>
  <c r="E13" i="90"/>
  <c r="I13" i="90" s="1"/>
  <c r="J13" i="90" s="1"/>
  <c r="E42" i="90"/>
  <c r="J42" i="90" s="1"/>
  <c r="I84" i="89"/>
  <c r="J84" i="89" s="1"/>
  <c r="Y12" i="89"/>
  <c r="S92" i="89"/>
  <c r="X92" i="89" s="1"/>
  <c r="Y16" i="89"/>
  <c r="J103" i="89"/>
  <c r="J105" i="89" s="1"/>
  <c r="Y103" i="89"/>
  <c r="Y83" i="89"/>
  <c r="T64" i="89"/>
  <c r="X65" i="89" s="1"/>
  <c r="X70" i="89" s="1"/>
  <c r="Y70" i="89" s="1"/>
  <c r="T58" i="89"/>
  <c r="X59" i="89" s="1"/>
  <c r="X71" i="89" s="1"/>
  <c r="Y31" i="89"/>
  <c r="Y32" i="89" s="1"/>
  <c r="J32" i="89"/>
  <c r="J14" i="89"/>
  <c r="S91" i="89"/>
  <c r="X91" i="89" s="1"/>
  <c r="Y14" i="89"/>
  <c r="J97" i="89"/>
  <c r="V69" i="89"/>
  <c r="Y81" i="89"/>
  <c r="X83" i="89" s="1"/>
  <c r="V85" i="89"/>
  <c r="E15" i="89"/>
  <c r="I15" i="89" s="1"/>
  <c r="J15" i="89" s="1"/>
  <c r="E25" i="89"/>
  <c r="I25" i="89" s="1"/>
  <c r="J25" i="89" s="1"/>
  <c r="E12" i="89"/>
  <c r="E22" i="89"/>
  <c r="I22" i="89" s="1"/>
  <c r="J22" i="89" s="1"/>
  <c r="V71" i="89"/>
  <c r="D91" i="89"/>
  <c r="X13" i="89"/>
  <c r="Y13" i="89" s="1"/>
  <c r="E41" i="89"/>
  <c r="E45" i="89"/>
  <c r="J45" i="89" s="1"/>
  <c r="E49" i="89"/>
  <c r="J49" i="89" s="1"/>
  <c r="E19" i="89"/>
  <c r="I19" i="89" s="1"/>
  <c r="J19" i="89" s="1"/>
  <c r="E16" i="89"/>
  <c r="I16" i="89" s="1"/>
  <c r="E26" i="89"/>
  <c r="I26" i="89" s="1"/>
  <c r="J26" i="89" s="1"/>
  <c r="E44" i="89"/>
  <c r="J44" i="89" s="1"/>
  <c r="E48" i="89"/>
  <c r="J48" i="89" s="1"/>
  <c r="E13" i="89"/>
  <c r="I13" i="89" s="1"/>
  <c r="J13" i="89" s="1"/>
  <c r="E42" i="89"/>
  <c r="J42" i="89" s="1"/>
  <c r="Y96" i="88"/>
  <c r="T28" i="88"/>
  <c r="Y16" i="88"/>
  <c r="S92" i="88"/>
  <c r="X92" i="88" s="1"/>
  <c r="T52" i="88"/>
  <c r="X53" i="88" s="1"/>
  <c r="T58" i="88"/>
  <c r="X59" i="88" s="1"/>
  <c r="X71" i="88" s="1"/>
  <c r="T61" i="88"/>
  <c r="X62" i="88" s="1"/>
  <c r="X67" i="88" s="1"/>
  <c r="Y67" i="88" s="1"/>
  <c r="T64" i="88"/>
  <c r="X65" i="88" s="1"/>
  <c r="X70" i="88" s="1"/>
  <c r="Y70" i="88" s="1"/>
  <c r="Y103" i="88"/>
  <c r="Y31" i="88"/>
  <c r="Y32" i="88" s="1"/>
  <c r="J32" i="88"/>
  <c r="Y12" i="88"/>
  <c r="S90" i="88"/>
  <c r="J103" i="88"/>
  <c r="X104" i="88"/>
  <c r="Y104" i="88" s="1"/>
  <c r="S91" i="88"/>
  <c r="X91" i="88" s="1"/>
  <c r="Y14" i="88"/>
  <c r="J98" i="88"/>
  <c r="J84" i="88"/>
  <c r="E44" i="88"/>
  <c r="J44" i="88" s="1"/>
  <c r="E48" i="88"/>
  <c r="J48" i="88" s="1"/>
  <c r="E15" i="88"/>
  <c r="I15" i="88" s="1"/>
  <c r="J15" i="88" s="1"/>
  <c r="E25" i="88"/>
  <c r="I25" i="88" s="1"/>
  <c r="J25" i="88" s="1"/>
  <c r="V102" i="88"/>
  <c r="V103" i="88" s="1"/>
  <c r="E12" i="88"/>
  <c r="E22" i="88"/>
  <c r="I22" i="88" s="1"/>
  <c r="J22" i="88" s="1"/>
  <c r="V71" i="88"/>
  <c r="Y71" i="88" s="1"/>
  <c r="X13" i="88"/>
  <c r="Y13" i="88" s="1"/>
  <c r="E43" i="88"/>
  <c r="J43" i="88" s="1"/>
  <c r="E47" i="88"/>
  <c r="J47" i="88" s="1"/>
  <c r="D91" i="88"/>
  <c r="E16" i="88"/>
  <c r="I16" i="88" s="1"/>
  <c r="E26" i="88"/>
  <c r="I26" i="88" s="1"/>
  <c r="J26" i="88" s="1"/>
  <c r="E41" i="88"/>
  <c r="E45" i="88"/>
  <c r="J45" i="88" s="1"/>
  <c r="E49" i="88"/>
  <c r="J49" i="88" s="1"/>
  <c r="E19" i="88"/>
  <c r="I19" i="88" s="1"/>
  <c r="J19" i="88" s="1"/>
  <c r="E13" i="88"/>
  <c r="I13" i="88" s="1"/>
  <c r="J13" i="88" s="1"/>
  <c r="E42" i="88"/>
  <c r="J42" i="88" s="1"/>
  <c r="Y96" i="87"/>
  <c r="E43" i="87"/>
  <c r="J43" i="87" s="1"/>
  <c r="E18" i="87"/>
  <c r="I18" i="87" s="1"/>
  <c r="J18" i="87" s="1"/>
  <c r="E21" i="87"/>
  <c r="I21" i="87" s="1"/>
  <c r="J21" i="87" s="1"/>
  <c r="T28" i="87"/>
  <c r="T52" i="87" s="1"/>
  <c r="X53" i="87" s="1"/>
  <c r="S92" i="87"/>
  <c r="X92" i="87" s="1"/>
  <c r="Y16" i="87"/>
  <c r="J103" i="87"/>
  <c r="J105" i="87" s="1"/>
  <c r="Y50" i="87"/>
  <c r="Y31" i="87"/>
  <c r="Y32" i="87" s="1"/>
  <c r="J32" i="87"/>
  <c r="J14" i="87"/>
  <c r="Y12" i="87"/>
  <c r="S90" i="87"/>
  <c r="E20" i="87"/>
  <c r="I20" i="87" s="1"/>
  <c r="J20" i="87" s="1"/>
  <c r="V69" i="87"/>
  <c r="I104" i="87"/>
  <c r="J104" i="87" s="1"/>
  <c r="X97" i="87"/>
  <c r="Y97" i="87" s="1"/>
  <c r="E17" i="87"/>
  <c r="I17" i="87" s="1"/>
  <c r="J17" i="87" s="1"/>
  <c r="E27" i="87"/>
  <c r="I27" i="87" s="1"/>
  <c r="J27" i="87" s="1"/>
  <c r="V83" i="87"/>
  <c r="Y83" i="87" s="1"/>
  <c r="V70" i="87"/>
  <c r="X14" i="87"/>
  <c r="E44" i="87"/>
  <c r="J44" i="87" s="1"/>
  <c r="E48" i="87"/>
  <c r="J48" i="87" s="1"/>
  <c r="V85" i="87"/>
  <c r="E12" i="87"/>
  <c r="E22" i="87"/>
  <c r="I22" i="87" s="1"/>
  <c r="J22" i="87" s="1"/>
  <c r="E41" i="87"/>
  <c r="E45" i="87"/>
  <c r="J45" i="87" s="1"/>
  <c r="E49" i="87"/>
  <c r="J49" i="87" s="1"/>
  <c r="D91" i="87"/>
  <c r="E16" i="87"/>
  <c r="I16" i="87" s="1"/>
  <c r="E26" i="87"/>
  <c r="I26" i="87" s="1"/>
  <c r="J26" i="87" s="1"/>
  <c r="E15" i="87"/>
  <c r="I15" i="87" s="1"/>
  <c r="J15" i="87" s="1"/>
  <c r="E25" i="87"/>
  <c r="I25" i="87" s="1"/>
  <c r="J25" i="87" s="1"/>
  <c r="E19" i="87"/>
  <c r="I19" i="87" s="1"/>
  <c r="J19" i="87" s="1"/>
  <c r="E13" i="87"/>
  <c r="I13" i="87" s="1"/>
  <c r="J13" i="87" s="1"/>
  <c r="E42" i="87"/>
  <c r="J42" i="87" s="1"/>
  <c r="Y96" i="86"/>
  <c r="E46" i="86"/>
  <c r="J46" i="86" s="1"/>
  <c r="E24" i="86"/>
  <c r="I24" i="86" s="1"/>
  <c r="J24" i="86" s="1"/>
  <c r="E13" i="86"/>
  <c r="I13" i="86" s="1"/>
  <c r="J13" i="86" s="1"/>
  <c r="T28" i="86"/>
  <c r="T52" i="86" s="1"/>
  <c r="X53" i="86" s="1"/>
  <c r="E14" i="86"/>
  <c r="I14" i="86" s="1"/>
  <c r="J14" i="86" s="1"/>
  <c r="E27" i="86"/>
  <c r="I27" i="86" s="1"/>
  <c r="J27" i="86" s="1"/>
  <c r="E18" i="86"/>
  <c r="I18" i="86" s="1"/>
  <c r="J18" i="86" s="1"/>
  <c r="E20" i="86"/>
  <c r="I20" i="86" s="1"/>
  <c r="J20" i="86" s="1"/>
  <c r="Y12" i="86"/>
  <c r="Y31" i="86"/>
  <c r="Y32" i="86" s="1"/>
  <c r="J32" i="86"/>
  <c r="S91" i="86"/>
  <c r="X91" i="86" s="1"/>
  <c r="Y14" i="86"/>
  <c r="Y16" i="86"/>
  <c r="S92" i="86"/>
  <c r="X92" i="86" s="1"/>
  <c r="Y83" i="86"/>
  <c r="J103" i="86"/>
  <c r="J105" i="86" s="1"/>
  <c r="J84" i="86"/>
  <c r="X13" i="86"/>
  <c r="Y13" i="86" s="1"/>
  <c r="E43" i="86"/>
  <c r="J43" i="86" s="1"/>
  <c r="E47" i="86"/>
  <c r="J47" i="86" s="1"/>
  <c r="V85" i="86"/>
  <c r="X102" i="86"/>
  <c r="E12" i="86"/>
  <c r="E22" i="86"/>
  <c r="I22" i="86" s="1"/>
  <c r="J22" i="86" s="1"/>
  <c r="E41" i="86"/>
  <c r="E45" i="86"/>
  <c r="J45" i="86" s="1"/>
  <c r="E49" i="86"/>
  <c r="J49" i="86" s="1"/>
  <c r="J97" i="86"/>
  <c r="V69" i="86"/>
  <c r="D91" i="86"/>
  <c r="E19" i="86"/>
  <c r="I19" i="86" s="1"/>
  <c r="J19" i="86" s="1"/>
  <c r="E16" i="86"/>
  <c r="I16" i="86" s="1"/>
  <c r="E26" i="86"/>
  <c r="I26" i="86" s="1"/>
  <c r="J26" i="86" s="1"/>
  <c r="E44" i="86"/>
  <c r="J44" i="86" s="1"/>
  <c r="E15" i="86"/>
  <c r="I15" i="86" s="1"/>
  <c r="J15" i="86" s="1"/>
  <c r="Y96" i="85"/>
  <c r="J38" i="85"/>
  <c r="E24" i="85"/>
  <c r="I24" i="85" s="1"/>
  <c r="J24" i="85" s="1"/>
  <c r="T28" i="85"/>
  <c r="T58" i="85" s="1"/>
  <c r="X59" i="85" s="1"/>
  <c r="X71" i="85" s="1"/>
  <c r="Y71" i="85" s="1"/>
  <c r="E27" i="85"/>
  <c r="I27" i="85" s="1"/>
  <c r="J27" i="85" s="1"/>
  <c r="E14" i="85"/>
  <c r="I14" i="85" s="1"/>
  <c r="J14" i="85" s="1"/>
  <c r="E17" i="85"/>
  <c r="I17" i="85" s="1"/>
  <c r="J17" i="85" s="1"/>
  <c r="E18" i="85"/>
  <c r="I18" i="85" s="1"/>
  <c r="J18" i="85" s="1"/>
  <c r="E20" i="85"/>
  <c r="I20" i="85" s="1"/>
  <c r="J20" i="85" s="1"/>
  <c r="E21" i="85"/>
  <c r="I21" i="85" s="1"/>
  <c r="J21" i="85" s="1"/>
  <c r="Y12" i="85"/>
  <c r="T52" i="85"/>
  <c r="X53" i="85" s="1"/>
  <c r="T61" i="85"/>
  <c r="X62" i="85" s="1"/>
  <c r="X67" i="85" s="1"/>
  <c r="Y67" i="85" s="1"/>
  <c r="S91" i="85"/>
  <c r="X91" i="85" s="1"/>
  <c r="Y14" i="85"/>
  <c r="Y16" i="85"/>
  <c r="S92" i="85"/>
  <c r="X92" i="85" s="1"/>
  <c r="Y50" i="85"/>
  <c r="Y31" i="85"/>
  <c r="Y32" i="85" s="1"/>
  <c r="J32" i="85"/>
  <c r="X97" i="85"/>
  <c r="Y97" i="85" s="1"/>
  <c r="X13" i="85"/>
  <c r="Y13" i="85" s="1"/>
  <c r="E43" i="85"/>
  <c r="J43" i="85" s="1"/>
  <c r="E47" i="85"/>
  <c r="J47" i="85" s="1"/>
  <c r="E19" i="85"/>
  <c r="I19" i="85" s="1"/>
  <c r="J19" i="85" s="1"/>
  <c r="E44" i="85"/>
  <c r="J44" i="85" s="1"/>
  <c r="E48" i="85"/>
  <c r="J48" i="85" s="1"/>
  <c r="V85" i="85"/>
  <c r="E12" i="85"/>
  <c r="E22" i="85"/>
  <c r="I22" i="85" s="1"/>
  <c r="J22" i="85" s="1"/>
  <c r="E41" i="85"/>
  <c r="E49" i="85"/>
  <c r="J49" i="85" s="1"/>
  <c r="D91" i="85"/>
  <c r="E16" i="85"/>
  <c r="I16" i="85" s="1"/>
  <c r="E26" i="85"/>
  <c r="I26" i="85" s="1"/>
  <c r="J26" i="85" s="1"/>
  <c r="E45" i="85"/>
  <c r="J45" i="85" s="1"/>
  <c r="E15" i="85"/>
  <c r="I15" i="85" s="1"/>
  <c r="J15" i="85" s="1"/>
  <c r="E25" i="85"/>
  <c r="I25" i="85" s="1"/>
  <c r="J25" i="85" s="1"/>
  <c r="E13" i="85"/>
  <c r="I13" i="85" s="1"/>
  <c r="J13" i="85" s="1"/>
  <c r="E42" i="85"/>
  <c r="J42" i="85" s="1"/>
  <c r="Y96" i="84"/>
  <c r="T28" i="84"/>
  <c r="T64" i="84" s="1"/>
  <c r="X65" i="84" s="1"/>
  <c r="X70" i="84" s="1"/>
  <c r="Y70" i="84" s="1"/>
  <c r="S92" i="84"/>
  <c r="X92" i="84" s="1"/>
  <c r="Y16" i="84"/>
  <c r="X13" i="84"/>
  <c r="Y13" i="84" s="1"/>
  <c r="Y50" i="84"/>
  <c r="Y97" i="84"/>
  <c r="J103" i="84"/>
  <c r="J105" i="84" s="1"/>
  <c r="J32" i="84"/>
  <c r="J14" i="84"/>
  <c r="S91" i="84"/>
  <c r="X91" i="84" s="1"/>
  <c r="Y14" i="84"/>
  <c r="E46" i="84"/>
  <c r="J46" i="84" s="1"/>
  <c r="E42" i="84"/>
  <c r="J42" i="84" s="1"/>
  <c r="E48" i="84"/>
  <c r="J48" i="84" s="1"/>
  <c r="E44" i="84"/>
  <c r="J44" i="84" s="1"/>
  <c r="E49" i="84"/>
  <c r="J49" i="84" s="1"/>
  <c r="E45" i="84"/>
  <c r="J45" i="84" s="1"/>
  <c r="E41" i="84"/>
  <c r="E47" i="84"/>
  <c r="J47" i="84" s="1"/>
  <c r="E43" i="84"/>
  <c r="J43" i="84" s="1"/>
  <c r="Y12" i="84"/>
  <c r="X28" i="84"/>
  <c r="V33" i="84" s="1"/>
  <c r="T55" i="84" s="1"/>
  <c r="X56" i="84" s="1"/>
  <c r="I84" i="84"/>
  <c r="J84" i="84" s="1"/>
  <c r="V87" i="84"/>
  <c r="V83" i="84"/>
  <c r="Y83" i="84" s="1"/>
  <c r="V85" i="84"/>
  <c r="E12" i="84"/>
  <c r="E22" i="84"/>
  <c r="I22" i="84" s="1"/>
  <c r="J22" i="84" s="1"/>
  <c r="D91" i="84"/>
  <c r="E16" i="84"/>
  <c r="I16" i="84" s="1"/>
  <c r="E26" i="84"/>
  <c r="I26" i="84" s="1"/>
  <c r="J26" i="84" s="1"/>
  <c r="E19" i="84"/>
  <c r="I19" i="84" s="1"/>
  <c r="J19" i="84" s="1"/>
  <c r="E15" i="84"/>
  <c r="I15" i="84" s="1"/>
  <c r="J15" i="84" s="1"/>
  <c r="E25" i="84"/>
  <c r="I25" i="84" s="1"/>
  <c r="J25" i="84" s="1"/>
  <c r="E13" i="84"/>
  <c r="I13" i="84" s="1"/>
  <c r="J13" i="84" s="1"/>
  <c r="Y96" i="83"/>
  <c r="J38" i="83"/>
  <c r="E18" i="83"/>
  <c r="I18" i="83" s="1"/>
  <c r="J18" i="83" s="1"/>
  <c r="E22" i="83"/>
  <c r="I22" i="83" s="1"/>
  <c r="J22" i="83" s="1"/>
  <c r="E12" i="83"/>
  <c r="I12" i="83" s="1"/>
  <c r="E24" i="83"/>
  <c r="I24" i="83" s="1"/>
  <c r="J24" i="83" s="1"/>
  <c r="Y50" i="83"/>
  <c r="S92" i="83"/>
  <c r="X92" i="83" s="1"/>
  <c r="Y16" i="83"/>
  <c r="J98" i="83"/>
  <c r="J105" i="83"/>
  <c r="X104" i="83"/>
  <c r="Y104" i="83" s="1"/>
  <c r="V69" i="83"/>
  <c r="V87" i="83"/>
  <c r="I84" i="83"/>
  <c r="J84" i="83" s="1"/>
  <c r="S91" i="83"/>
  <c r="X91" i="83" s="1"/>
  <c r="Y14" i="83"/>
  <c r="E46" i="83"/>
  <c r="J46" i="83" s="1"/>
  <c r="E42" i="83"/>
  <c r="J42" i="83" s="1"/>
  <c r="E49" i="83"/>
  <c r="J49" i="83" s="1"/>
  <c r="E45" i="83"/>
  <c r="J45" i="83" s="1"/>
  <c r="E41" i="83"/>
  <c r="E48" i="83"/>
  <c r="J48" i="83" s="1"/>
  <c r="E44" i="83"/>
  <c r="J44" i="83" s="1"/>
  <c r="J12" i="83"/>
  <c r="E43" i="83"/>
  <c r="J43" i="83" s="1"/>
  <c r="Y12" i="83"/>
  <c r="Y83" i="83"/>
  <c r="J14" i="83"/>
  <c r="T28" i="83"/>
  <c r="X13" i="83"/>
  <c r="Y13" i="83" s="1"/>
  <c r="E15" i="83"/>
  <c r="I15" i="83" s="1"/>
  <c r="J15" i="83" s="1"/>
  <c r="E25" i="83"/>
  <c r="I25" i="83" s="1"/>
  <c r="J25" i="83" s="1"/>
  <c r="V102" i="83"/>
  <c r="V103" i="83" s="1"/>
  <c r="Y103" i="83" s="1"/>
  <c r="E19" i="83"/>
  <c r="I19" i="83" s="1"/>
  <c r="J19" i="83" s="1"/>
  <c r="V86" i="83"/>
  <c r="D91" i="83"/>
  <c r="E16" i="83"/>
  <c r="I16" i="83" s="1"/>
  <c r="E26" i="83"/>
  <c r="I26" i="83" s="1"/>
  <c r="J26" i="83" s="1"/>
  <c r="E13" i="83"/>
  <c r="I13" i="83" s="1"/>
  <c r="J13" i="83" s="1"/>
  <c r="Y96" i="82"/>
  <c r="E17" i="82"/>
  <c r="I17" i="82" s="1"/>
  <c r="J17" i="82" s="1"/>
  <c r="T28" i="82"/>
  <c r="T52" i="82" s="1"/>
  <c r="X53" i="82" s="1"/>
  <c r="J84" i="82"/>
  <c r="Y12" i="82"/>
  <c r="T58" i="82"/>
  <c r="X59" i="82" s="1"/>
  <c r="X71" i="82" s="1"/>
  <c r="T64" i="82"/>
  <c r="X65" i="82" s="1"/>
  <c r="X70" i="82" s="1"/>
  <c r="Y70" i="82" s="1"/>
  <c r="T61" i="82"/>
  <c r="X62" i="82" s="1"/>
  <c r="X67" i="82" s="1"/>
  <c r="Y67" i="82" s="1"/>
  <c r="J103" i="82"/>
  <c r="J105" i="82"/>
  <c r="Y102" i="82"/>
  <c r="Y105" i="82" s="1"/>
  <c r="J14" i="82"/>
  <c r="Y31" i="82"/>
  <c r="Y32" i="82" s="1"/>
  <c r="J32" i="82"/>
  <c r="Y16" i="82"/>
  <c r="S92" i="82"/>
  <c r="X92" i="82" s="1"/>
  <c r="S91" i="82"/>
  <c r="X91" i="82" s="1"/>
  <c r="Y14" i="82"/>
  <c r="J98" i="82"/>
  <c r="E15" i="82"/>
  <c r="I15" i="82" s="1"/>
  <c r="J15" i="82" s="1"/>
  <c r="E25" i="82"/>
  <c r="I25" i="82" s="1"/>
  <c r="J25" i="82" s="1"/>
  <c r="V69" i="82"/>
  <c r="X13" i="82"/>
  <c r="Y13" i="82" s="1"/>
  <c r="E43" i="82"/>
  <c r="J43" i="82" s="1"/>
  <c r="E47" i="82"/>
  <c r="J47" i="82" s="1"/>
  <c r="E12" i="82"/>
  <c r="E22" i="82"/>
  <c r="I22" i="82" s="1"/>
  <c r="J22" i="82" s="1"/>
  <c r="V71" i="82"/>
  <c r="V87" i="82"/>
  <c r="V83" i="82"/>
  <c r="Y83" i="82" s="1"/>
  <c r="E41" i="82"/>
  <c r="E49" i="82"/>
  <c r="J49" i="82" s="1"/>
  <c r="E19" i="82"/>
  <c r="I19" i="82" s="1"/>
  <c r="J19" i="82" s="1"/>
  <c r="D91" i="82"/>
  <c r="E44" i="82"/>
  <c r="J44" i="82" s="1"/>
  <c r="E48" i="82"/>
  <c r="J48" i="82" s="1"/>
  <c r="E45" i="82"/>
  <c r="J45" i="82" s="1"/>
  <c r="E16" i="82"/>
  <c r="I16" i="82" s="1"/>
  <c r="E26" i="82"/>
  <c r="I26" i="82" s="1"/>
  <c r="J26" i="82" s="1"/>
  <c r="E13" i="82"/>
  <c r="I13" i="82" s="1"/>
  <c r="J13" i="82" s="1"/>
  <c r="E42" i="82"/>
  <c r="J42" i="82" s="1"/>
  <c r="Y96" i="81"/>
  <c r="T28" i="81"/>
  <c r="E17" i="81"/>
  <c r="I17" i="81" s="1"/>
  <c r="J17" i="81" s="1"/>
  <c r="Y31" i="81"/>
  <c r="Y32" i="81" s="1"/>
  <c r="J32" i="81"/>
  <c r="J105" i="81"/>
  <c r="Y12" i="81"/>
  <c r="T52" i="81"/>
  <c r="X53" i="81" s="1"/>
  <c r="T58" i="81"/>
  <c r="X59" i="81" s="1"/>
  <c r="X71" i="81" s="1"/>
  <c r="T64" i="81"/>
  <c r="X65" i="81" s="1"/>
  <c r="X70" i="81" s="1"/>
  <c r="Y70" i="81" s="1"/>
  <c r="T61" i="81"/>
  <c r="X62" i="81" s="1"/>
  <c r="X67" i="81" s="1"/>
  <c r="Y67" i="81" s="1"/>
  <c r="S91" i="81"/>
  <c r="X91" i="81" s="1"/>
  <c r="Y14" i="81"/>
  <c r="Y103" i="81"/>
  <c r="J14" i="81"/>
  <c r="S92" i="81"/>
  <c r="X92" i="81" s="1"/>
  <c r="Y16" i="81"/>
  <c r="X13" i="81"/>
  <c r="Y13" i="81" s="1"/>
  <c r="E43" i="81"/>
  <c r="J43" i="81" s="1"/>
  <c r="E47" i="81"/>
  <c r="J47" i="81" s="1"/>
  <c r="V85" i="81"/>
  <c r="E15" i="81"/>
  <c r="I15" i="81" s="1"/>
  <c r="J15" i="81" s="1"/>
  <c r="E25" i="81"/>
  <c r="I25" i="81" s="1"/>
  <c r="J25" i="81" s="1"/>
  <c r="E12" i="81"/>
  <c r="E22" i="81"/>
  <c r="I22" i="81" s="1"/>
  <c r="J22" i="81" s="1"/>
  <c r="V71" i="81"/>
  <c r="X97" i="81"/>
  <c r="Y97" i="81" s="1"/>
  <c r="V83" i="81"/>
  <c r="Y83" i="81" s="1"/>
  <c r="E44" i="81"/>
  <c r="J44" i="81" s="1"/>
  <c r="E48" i="81"/>
  <c r="J48" i="81" s="1"/>
  <c r="E41" i="81"/>
  <c r="E45" i="81"/>
  <c r="J45" i="81" s="1"/>
  <c r="E49" i="81"/>
  <c r="J49" i="81" s="1"/>
  <c r="E19" i="81"/>
  <c r="I19" i="81" s="1"/>
  <c r="J19" i="81" s="1"/>
  <c r="D91" i="81"/>
  <c r="E16" i="81"/>
  <c r="I16" i="81" s="1"/>
  <c r="E26" i="81"/>
  <c r="I26" i="81" s="1"/>
  <c r="J26" i="81" s="1"/>
  <c r="E13" i="81"/>
  <c r="I13" i="81" s="1"/>
  <c r="J13" i="81" s="1"/>
  <c r="E42" i="81"/>
  <c r="J42" i="81" s="1"/>
  <c r="Y96" i="80"/>
  <c r="T28" i="80"/>
  <c r="T52" i="80" s="1"/>
  <c r="X53" i="80" s="1"/>
  <c r="Y31" i="80"/>
  <c r="Y32" i="80" s="1"/>
  <c r="J32" i="80"/>
  <c r="X104" i="80"/>
  <c r="Y104" i="80" s="1"/>
  <c r="Y12" i="80"/>
  <c r="J103" i="80"/>
  <c r="J105" i="80" s="1"/>
  <c r="J84" i="80"/>
  <c r="J14" i="80"/>
  <c r="B91" i="80"/>
  <c r="I91" i="80" s="1"/>
  <c r="S91" i="80"/>
  <c r="X91" i="80" s="1"/>
  <c r="Y14" i="80"/>
  <c r="S92" i="80"/>
  <c r="X92" i="80" s="1"/>
  <c r="Y16" i="80"/>
  <c r="V87" i="80"/>
  <c r="E15" i="80"/>
  <c r="I15" i="80" s="1"/>
  <c r="J15" i="80" s="1"/>
  <c r="E25" i="80"/>
  <c r="I25" i="80" s="1"/>
  <c r="J25" i="80" s="1"/>
  <c r="V102" i="80"/>
  <c r="V103" i="80" s="1"/>
  <c r="Y103" i="80" s="1"/>
  <c r="E43" i="80"/>
  <c r="J43" i="80" s="1"/>
  <c r="E47" i="80"/>
  <c r="J47" i="80" s="1"/>
  <c r="E12" i="80"/>
  <c r="E22" i="80"/>
  <c r="I22" i="80" s="1"/>
  <c r="J22" i="80" s="1"/>
  <c r="V71" i="80"/>
  <c r="X13" i="80"/>
  <c r="Y13" i="80" s="1"/>
  <c r="V83" i="80"/>
  <c r="X97" i="80"/>
  <c r="Y97" i="80" s="1"/>
  <c r="D91" i="80"/>
  <c r="E16" i="80"/>
  <c r="I16" i="80" s="1"/>
  <c r="E26" i="80"/>
  <c r="I26" i="80" s="1"/>
  <c r="J26" i="80" s="1"/>
  <c r="E44" i="80"/>
  <c r="J44" i="80" s="1"/>
  <c r="E48" i="80"/>
  <c r="J48" i="80" s="1"/>
  <c r="E41" i="80"/>
  <c r="E45" i="80"/>
  <c r="J45" i="80" s="1"/>
  <c r="E49" i="80"/>
  <c r="J49" i="80" s="1"/>
  <c r="E19" i="80"/>
  <c r="I19" i="80" s="1"/>
  <c r="J19" i="80" s="1"/>
  <c r="E13" i="80"/>
  <c r="I13" i="80" s="1"/>
  <c r="J13" i="80" s="1"/>
  <c r="E42" i="80"/>
  <c r="J42" i="80" s="1"/>
  <c r="Y96" i="79"/>
  <c r="J38" i="79"/>
  <c r="T28" i="79"/>
  <c r="T61" i="79" s="1"/>
  <c r="X62" i="79" s="1"/>
  <c r="X67" i="79" s="1"/>
  <c r="Y67" i="79" s="1"/>
  <c r="E17" i="79"/>
  <c r="I17" i="79" s="1"/>
  <c r="J17" i="79" s="1"/>
  <c r="E18" i="79"/>
  <c r="I18" i="79" s="1"/>
  <c r="J18" i="79" s="1"/>
  <c r="E21" i="79"/>
  <c r="I21" i="79" s="1"/>
  <c r="J21" i="79" s="1"/>
  <c r="E24" i="79"/>
  <c r="I24" i="79" s="1"/>
  <c r="J24" i="79" s="1"/>
  <c r="S92" i="79"/>
  <c r="X92" i="79" s="1"/>
  <c r="Y16" i="79"/>
  <c r="Y12" i="79"/>
  <c r="J32" i="79"/>
  <c r="X13" i="79"/>
  <c r="Y13" i="79" s="1"/>
  <c r="E46" i="79"/>
  <c r="J46" i="79" s="1"/>
  <c r="E42" i="79"/>
  <c r="J42" i="79" s="1"/>
  <c r="E49" i="79"/>
  <c r="J49" i="79" s="1"/>
  <c r="E45" i="79"/>
  <c r="J45" i="79" s="1"/>
  <c r="E41" i="79"/>
  <c r="E48" i="79"/>
  <c r="J48" i="79" s="1"/>
  <c r="E44" i="79"/>
  <c r="J44" i="79" s="1"/>
  <c r="E47" i="79"/>
  <c r="J47" i="79" s="1"/>
  <c r="E43" i="79"/>
  <c r="J43" i="79" s="1"/>
  <c r="S91" i="79"/>
  <c r="X91" i="79" s="1"/>
  <c r="Y14" i="79"/>
  <c r="Y50" i="79"/>
  <c r="J103" i="79"/>
  <c r="I84" i="79"/>
  <c r="J84" i="79" s="1"/>
  <c r="Y83" i="79"/>
  <c r="E15" i="79"/>
  <c r="I15" i="79" s="1"/>
  <c r="J15" i="79" s="1"/>
  <c r="E25" i="79"/>
  <c r="I25" i="79" s="1"/>
  <c r="J25" i="79" s="1"/>
  <c r="E19" i="79"/>
  <c r="I19" i="79" s="1"/>
  <c r="J19" i="79" s="1"/>
  <c r="D91" i="79"/>
  <c r="E16" i="79"/>
  <c r="I16" i="79" s="1"/>
  <c r="E26" i="79"/>
  <c r="I26" i="79" s="1"/>
  <c r="J26" i="79" s="1"/>
  <c r="E12" i="79"/>
  <c r="E22" i="79"/>
  <c r="I22" i="79" s="1"/>
  <c r="J22" i="79" s="1"/>
  <c r="E13" i="79"/>
  <c r="I13" i="79" s="1"/>
  <c r="J13" i="79" s="1"/>
  <c r="Y96" i="78"/>
  <c r="E24" i="78"/>
  <c r="I24" i="78" s="1"/>
  <c r="J24" i="78" s="1"/>
  <c r="E17" i="78"/>
  <c r="I17" i="78" s="1"/>
  <c r="J17" i="78" s="1"/>
  <c r="J84" i="78"/>
  <c r="J14" i="78"/>
  <c r="J103" i="78"/>
  <c r="Y83" i="78"/>
  <c r="Y12" i="78"/>
  <c r="X28" i="78"/>
  <c r="V33" i="78" s="1"/>
  <c r="T55" i="78" s="1"/>
  <c r="X56" i="78" s="1"/>
  <c r="S90" i="78"/>
  <c r="Y102" i="78"/>
  <c r="S91" i="78"/>
  <c r="X91" i="78" s="1"/>
  <c r="Y14" i="78"/>
  <c r="Y103" i="78"/>
  <c r="Y31" i="78"/>
  <c r="Y32" i="78" s="1"/>
  <c r="J32" i="78"/>
  <c r="S92" i="78"/>
  <c r="X92" i="78" s="1"/>
  <c r="Y16" i="78"/>
  <c r="X97" i="78"/>
  <c r="Y97" i="78" s="1"/>
  <c r="V87" i="78"/>
  <c r="E15" i="78"/>
  <c r="I15" i="78" s="1"/>
  <c r="J15" i="78" s="1"/>
  <c r="E25" i="78"/>
  <c r="I25" i="78" s="1"/>
  <c r="J25" i="78" s="1"/>
  <c r="E12" i="78"/>
  <c r="E22" i="78"/>
  <c r="I22" i="78" s="1"/>
  <c r="J22" i="78" s="1"/>
  <c r="V71" i="78"/>
  <c r="E43" i="78"/>
  <c r="J43" i="78" s="1"/>
  <c r="E47" i="78"/>
  <c r="J47" i="78" s="1"/>
  <c r="T28" i="78"/>
  <c r="E41" i="78"/>
  <c r="E45" i="78"/>
  <c r="J45" i="78" s="1"/>
  <c r="E49" i="78"/>
  <c r="J49" i="78" s="1"/>
  <c r="E19" i="78"/>
  <c r="I19" i="78" s="1"/>
  <c r="J19" i="78" s="1"/>
  <c r="D91" i="78"/>
  <c r="E44" i="78"/>
  <c r="J44" i="78" s="1"/>
  <c r="E48" i="78"/>
  <c r="J48" i="78" s="1"/>
  <c r="E16" i="78"/>
  <c r="I16" i="78" s="1"/>
  <c r="E26" i="78"/>
  <c r="I26" i="78" s="1"/>
  <c r="J26" i="78" s="1"/>
  <c r="E13" i="78"/>
  <c r="I13" i="78" s="1"/>
  <c r="J13" i="78" s="1"/>
  <c r="E42" i="78"/>
  <c r="J42" i="78" s="1"/>
  <c r="T96" i="77"/>
  <c r="Y96" i="77" s="1"/>
  <c r="E14" i="77"/>
  <c r="T14" i="77" s="1"/>
  <c r="X14" i="77" s="1"/>
  <c r="E20" i="77"/>
  <c r="T20" i="77" s="1"/>
  <c r="X20" i="77" s="1"/>
  <c r="Y20" i="77" s="1"/>
  <c r="J84" i="77"/>
  <c r="X104" i="77"/>
  <c r="Y104" i="77" s="1"/>
  <c r="I23" i="77"/>
  <c r="J23" i="77" s="1"/>
  <c r="T23" i="77"/>
  <c r="X23" i="77" s="1"/>
  <c r="Y23" i="77" s="1"/>
  <c r="Y31" i="77"/>
  <c r="Y32" i="77" s="1"/>
  <c r="J32" i="77"/>
  <c r="Y14" i="77"/>
  <c r="I20" i="77"/>
  <c r="J20" i="77" s="1"/>
  <c r="X97" i="77"/>
  <c r="Y97" i="77" s="1"/>
  <c r="E17" i="77"/>
  <c r="E27" i="77"/>
  <c r="V83" i="77"/>
  <c r="Y83" i="77" s="1"/>
  <c r="I14" i="77"/>
  <c r="I24" i="77"/>
  <c r="J24" i="77" s="1"/>
  <c r="E21" i="77"/>
  <c r="V70" i="77"/>
  <c r="D90" i="77"/>
  <c r="E18" i="77"/>
  <c r="E44" i="77"/>
  <c r="J44" i="77" s="1"/>
  <c r="E48" i="77"/>
  <c r="J48" i="77" s="1"/>
  <c r="E15" i="77"/>
  <c r="E25" i="77"/>
  <c r="V102" i="77"/>
  <c r="V103" i="77" s="1"/>
  <c r="Y103" i="77" s="1"/>
  <c r="E43" i="77"/>
  <c r="J43" i="77" s="1"/>
  <c r="E47" i="77"/>
  <c r="J47" i="77" s="1"/>
  <c r="D91" i="77"/>
  <c r="E16" i="77"/>
  <c r="E26" i="77"/>
  <c r="E12" i="77"/>
  <c r="E22" i="77"/>
  <c r="E41" i="77"/>
  <c r="E45" i="77"/>
  <c r="J45" i="77" s="1"/>
  <c r="E49" i="77"/>
  <c r="J49" i="77" s="1"/>
  <c r="E19" i="77"/>
  <c r="E13" i="77"/>
  <c r="E42" i="77"/>
  <c r="J42" i="77" s="1"/>
  <c r="Y96" i="76"/>
  <c r="E18" i="76"/>
  <c r="E20" i="76"/>
  <c r="E21" i="76"/>
  <c r="E24" i="76"/>
  <c r="E14" i="76"/>
  <c r="E27" i="76"/>
  <c r="Y31" i="76"/>
  <c r="Y32" i="76" s="1"/>
  <c r="J32" i="76"/>
  <c r="Y83" i="76"/>
  <c r="Y103" i="76"/>
  <c r="Y12" i="76"/>
  <c r="J84" i="76"/>
  <c r="E44" i="76"/>
  <c r="J44" i="76" s="1"/>
  <c r="E48" i="76"/>
  <c r="J48" i="76" s="1"/>
  <c r="V70" i="76"/>
  <c r="V85" i="76"/>
  <c r="X102" i="76"/>
  <c r="V69" i="76"/>
  <c r="E15" i="76"/>
  <c r="E25" i="76"/>
  <c r="E12" i="76"/>
  <c r="T12" i="76" s="1"/>
  <c r="X12" i="76" s="1"/>
  <c r="E22" i="76"/>
  <c r="V71" i="76"/>
  <c r="X97" i="76"/>
  <c r="Y97" i="76" s="1"/>
  <c r="E43" i="76"/>
  <c r="J43" i="76" s="1"/>
  <c r="E47" i="76"/>
  <c r="J47" i="76" s="1"/>
  <c r="D91" i="76"/>
  <c r="E16" i="76"/>
  <c r="E26" i="76"/>
  <c r="E41" i="76"/>
  <c r="E45" i="76"/>
  <c r="J45" i="76" s="1"/>
  <c r="E49" i="76"/>
  <c r="J49" i="76" s="1"/>
  <c r="E19" i="76"/>
  <c r="E13" i="76"/>
  <c r="E42" i="76"/>
  <c r="J42" i="76" s="1"/>
  <c r="I84" i="75"/>
  <c r="J84" i="75" s="1"/>
  <c r="Y96" i="75"/>
  <c r="T28" i="75"/>
  <c r="T52" i="75" s="1"/>
  <c r="X53" i="75" s="1"/>
  <c r="Y16" i="75"/>
  <c r="S92" i="75"/>
  <c r="X92" i="75" s="1"/>
  <c r="Y31" i="75"/>
  <c r="Y32" i="75" s="1"/>
  <c r="J32" i="75"/>
  <c r="J103" i="75"/>
  <c r="J105" i="75"/>
  <c r="Y12" i="75"/>
  <c r="J14" i="75"/>
  <c r="S91" i="75"/>
  <c r="X91" i="75" s="1"/>
  <c r="Y14" i="75"/>
  <c r="J97" i="75"/>
  <c r="V69" i="75"/>
  <c r="Y81" i="75"/>
  <c r="X83" i="75" s="1"/>
  <c r="J98" i="75"/>
  <c r="E21" i="75"/>
  <c r="I21" i="75" s="1"/>
  <c r="J21" i="75" s="1"/>
  <c r="V70" i="75"/>
  <c r="V85" i="75"/>
  <c r="X102" i="75"/>
  <c r="E15" i="75"/>
  <c r="I15" i="75" s="1"/>
  <c r="J15" i="75" s="1"/>
  <c r="E25" i="75"/>
  <c r="I25" i="75" s="1"/>
  <c r="J25" i="75" s="1"/>
  <c r="E12" i="75"/>
  <c r="E22" i="75"/>
  <c r="I22" i="75" s="1"/>
  <c r="J22" i="75" s="1"/>
  <c r="V71" i="75"/>
  <c r="V87" i="75"/>
  <c r="X13" i="75"/>
  <c r="Y13" i="75" s="1"/>
  <c r="V83" i="75"/>
  <c r="E44" i="75"/>
  <c r="J44" i="75" s="1"/>
  <c r="E48" i="75"/>
  <c r="J48" i="75" s="1"/>
  <c r="E41" i="75"/>
  <c r="E49" i="75"/>
  <c r="J49" i="75" s="1"/>
  <c r="D91" i="75"/>
  <c r="E45" i="75"/>
  <c r="J45" i="75" s="1"/>
  <c r="E19" i="75"/>
  <c r="I19" i="75" s="1"/>
  <c r="J19" i="75" s="1"/>
  <c r="E16" i="75"/>
  <c r="I16" i="75" s="1"/>
  <c r="E26" i="75"/>
  <c r="I26" i="75" s="1"/>
  <c r="J26" i="75" s="1"/>
  <c r="E13" i="75"/>
  <c r="I13" i="75" s="1"/>
  <c r="J13" i="75" s="1"/>
  <c r="E42" i="75"/>
  <c r="J42" i="75" s="1"/>
  <c r="Y96" i="74"/>
  <c r="J38" i="74"/>
  <c r="T28" i="74"/>
  <c r="T52" i="74" s="1"/>
  <c r="X53" i="74" s="1"/>
  <c r="Y31" i="74"/>
  <c r="Y32" i="74" s="1"/>
  <c r="J32" i="74"/>
  <c r="Y12" i="74"/>
  <c r="Y83" i="74"/>
  <c r="S91" i="74"/>
  <c r="X91" i="74" s="1"/>
  <c r="Y14" i="74"/>
  <c r="X104" i="74"/>
  <c r="Y104" i="74" s="1"/>
  <c r="Y16" i="74"/>
  <c r="S92" i="74"/>
  <c r="X92" i="74" s="1"/>
  <c r="V87" i="74"/>
  <c r="D90" i="74"/>
  <c r="J98" i="74"/>
  <c r="E21" i="74"/>
  <c r="I21" i="74" s="1"/>
  <c r="J21" i="74" s="1"/>
  <c r="V70" i="74"/>
  <c r="E18" i="74"/>
  <c r="I18" i="74" s="1"/>
  <c r="J18" i="74" s="1"/>
  <c r="E44" i="74"/>
  <c r="J44" i="74" s="1"/>
  <c r="E48" i="74"/>
  <c r="J48" i="74" s="1"/>
  <c r="X13" i="74"/>
  <c r="Y13" i="74" s="1"/>
  <c r="E43" i="74"/>
  <c r="J43" i="74" s="1"/>
  <c r="E47" i="74"/>
  <c r="J47" i="74" s="1"/>
  <c r="E15" i="74"/>
  <c r="I15" i="74" s="1"/>
  <c r="J15" i="74" s="1"/>
  <c r="E25" i="74"/>
  <c r="I25" i="74" s="1"/>
  <c r="J25" i="74" s="1"/>
  <c r="V102" i="74"/>
  <c r="V103" i="74" s="1"/>
  <c r="Y103" i="74" s="1"/>
  <c r="D91" i="74"/>
  <c r="E12" i="74"/>
  <c r="E22" i="74"/>
  <c r="I22" i="74" s="1"/>
  <c r="J22" i="74" s="1"/>
  <c r="V71" i="74"/>
  <c r="E41" i="74"/>
  <c r="E45" i="74"/>
  <c r="J45" i="74" s="1"/>
  <c r="E49" i="74"/>
  <c r="J49" i="74" s="1"/>
  <c r="E16" i="74"/>
  <c r="I16" i="74" s="1"/>
  <c r="E26" i="74"/>
  <c r="I26" i="74" s="1"/>
  <c r="J26" i="74" s="1"/>
  <c r="E19" i="74"/>
  <c r="I19" i="74" s="1"/>
  <c r="J19" i="74" s="1"/>
  <c r="E13" i="74"/>
  <c r="I13" i="74" s="1"/>
  <c r="J13" i="74" s="1"/>
  <c r="E42" i="74"/>
  <c r="J42" i="74" s="1"/>
  <c r="Y96" i="73"/>
  <c r="E43" i="73"/>
  <c r="J43" i="73" s="1"/>
  <c r="E47" i="73"/>
  <c r="J47" i="73" s="1"/>
  <c r="J38" i="73"/>
  <c r="T28" i="73"/>
  <c r="Y31" i="73"/>
  <c r="Y32" i="73" s="1"/>
  <c r="J32" i="73"/>
  <c r="J14" i="73"/>
  <c r="J84" i="73"/>
  <c r="J103" i="73"/>
  <c r="S92" i="73"/>
  <c r="X92" i="73" s="1"/>
  <c r="Y16" i="73"/>
  <c r="Y14" i="73"/>
  <c r="Y103" i="73"/>
  <c r="S90" i="73"/>
  <c r="Y13" i="73"/>
  <c r="T58" i="73"/>
  <c r="X59" i="73" s="1"/>
  <c r="X71" i="73" s="1"/>
  <c r="T52" i="73"/>
  <c r="X53" i="73" s="1"/>
  <c r="T64" i="73"/>
  <c r="X65" i="73" s="1"/>
  <c r="X70" i="73" s="1"/>
  <c r="T61" i="73"/>
  <c r="X62" i="73" s="1"/>
  <c r="X67" i="73" s="1"/>
  <c r="Y67" i="73" s="1"/>
  <c r="E20" i="73"/>
  <c r="I20" i="73" s="1"/>
  <c r="J20" i="73" s="1"/>
  <c r="V69" i="73"/>
  <c r="X97" i="73"/>
  <c r="Y97" i="73" s="1"/>
  <c r="E17" i="73"/>
  <c r="I17" i="73" s="1"/>
  <c r="J17" i="73" s="1"/>
  <c r="E27" i="73"/>
  <c r="I27" i="73" s="1"/>
  <c r="J27" i="73" s="1"/>
  <c r="V83" i="73"/>
  <c r="Y83" i="73" s="1"/>
  <c r="E21" i="73"/>
  <c r="I21" i="73" s="1"/>
  <c r="J21" i="73" s="1"/>
  <c r="V70" i="73"/>
  <c r="D90" i="73"/>
  <c r="E18" i="73"/>
  <c r="I18" i="73" s="1"/>
  <c r="J18" i="73" s="1"/>
  <c r="E44" i="73"/>
  <c r="J44" i="73" s="1"/>
  <c r="E48" i="73"/>
  <c r="J48" i="73" s="1"/>
  <c r="J102" i="73"/>
  <c r="X102" i="73"/>
  <c r="E12" i="73"/>
  <c r="E22" i="73"/>
  <c r="I22" i="73" s="1"/>
  <c r="J22" i="73" s="1"/>
  <c r="V71" i="73"/>
  <c r="D91" i="73"/>
  <c r="X15" i="73"/>
  <c r="Y15" i="73" s="1"/>
  <c r="E19" i="73"/>
  <c r="I19" i="73" s="1"/>
  <c r="J19" i="73" s="1"/>
  <c r="V86" i="73"/>
  <c r="E15" i="73"/>
  <c r="I15" i="73" s="1"/>
  <c r="J15" i="73" s="1"/>
  <c r="E25" i="73"/>
  <c r="I25" i="73" s="1"/>
  <c r="J25" i="73" s="1"/>
  <c r="E41" i="73"/>
  <c r="E45" i="73"/>
  <c r="J45" i="73" s="1"/>
  <c r="E49" i="73"/>
  <c r="J49" i="73" s="1"/>
  <c r="E16" i="73"/>
  <c r="I16" i="73" s="1"/>
  <c r="E26" i="73"/>
  <c r="I26" i="73" s="1"/>
  <c r="J26" i="73" s="1"/>
  <c r="E13" i="73"/>
  <c r="I13" i="73" s="1"/>
  <c r="J13" i="73" s="1"/>
  <c r="E42" i="73"/>
  <c r="J42" i="73" s="1"/>
  <c r="Y96" i="72"/>
  <c r="E47" i="72"/>
  <c r="J47" i="72" s="1"/>
  <c r="T28" i="72"/>
  <c r="Y31" i="72"/>
  <c r="Y32" i="72" s="1"/>
  <c r="J32" i="72"/>
  <c r="Y12" i="72"/>
  <c r="T58" i="72"/>
  <c r="X59" i="72" s="1"/>
  <c r="X71" i="72" s="1"/>
  <c r="T52" i="72"/>
  <c r="X53" i="72" s="1"/>
  <c r="T61" i="72"/>
  <c r="X62" i="72" s="1"/>
  <c r="X67" i="72" s="1"/>
  <c r="Y67" i="72" s="1"/>
  <c r="T64" i="72"/>
  <c r="X65" i="72" s="1"/>
  <c r="X70" i="72" s="1"/>
  <c r="Y70" i="72" s="1"/>
  <c r="J14" i="72"/>
  <c r="J103" i="72"/>
  <c r="S91" i="72"/>
  <c r="X91" i="72" s="1"/>
  <c r="Y14" i="72"/>
  <c r="Y103" i="72"/>
  <c r="Y83" i="72"/>
  <c r="Y16" i="72"/>
  <c r="S92" i="72"/>
  <c r="X92" i="72" s="1"/>
  <c r="J97" i="72"/>
  <c r="V87" i="72"/>
  <c r="E44" i="72"/>
  <c r="J44" i="72" s="1"/>
  <c r="E48" i="72"/>
  <c r="J48" i="72" s="1"/>
  <c r="J98" i="72"/>
  <c r="I84" i="72"/>
  <c r="J84" i="72" s="1"/>
  <c r="V85" i="72"/>
  <c r="X102" i="72"/>
  <c r="X13" i="72"/>
  <c r="Y13" i="72" s="1"/>
  <c r="E15" i="72"/>
  <c r="I15" i="72" s="1"/>
  <c r="J15" i="72" s="1"/>
  <c r="E25" i="72"/>
  <c r="I25" i="72" s="1"/>
  <c r="J25" i="72" s="1"/>
  <c r="E12" i="72"/>
  <c r="E22" i="72"/>
  <c r="I22" i="72" s="1"/>
  <c r="J22" i="72" s="1"/>
  <c r="V71" i="72"/>
  <c r="D91" i="72"/>
  <c r="E16" i="72"/>
  <c r="I16" i="72" s="1"/>
  <c r="E26" i="72"/>
  <c r="I26" i="72" s="1"/>
  <c r="J26" i="72" s="1"/>
  <c r="E41" i="72"/>
  <c r="E45" i="72"/>
  <c r="J45" i="72" s="1"/>
  <c r="E49" i="72"/>
  <c r="J49" i="72" s="1"/>
  <c r="E19" i="72"/>
  <c r="I19" i="72" s="1"/>
  <c r="J19" i="72" s="1"/>
  <c r="E13" i="72"/>
  <c r="I13" i="72" s="1"/>
  <c r="J13" i="72" s="1"/>
  <c r="E42" i="72"/>
  <c r="J42" i="72" s="1"/>
  <c r="J38" i="71"/>
  <c r="Y96" i="71"/>
  <c r="E18" i="71"/>
  <c r="I18" i="71" s="1"/>
  <c r="J18" i="71" s="1"/>
  <c r="E20" i="71"/>
  <c r="I20" i="71" s="1"/>
  <c r="J20" i="71" s="1"/>
  <c r="E21" i="71"/>
  <c r="I21" i="71" s="1"/>
  <c r="J21" i="71" s="1"/>
  <c r="E24" i="71"/>
  <c r="I24" i="71" s="1"/>
  <c r="J24" i="71" s="1"/>
  <c r="E14" i="71"/>
  <c r="I14" i="71" s="1"/>
  <c r="J14" i="71" s="1"/>
  <c r="E27" i="71"/>
  <c r="I27" i="71" s="1"/>
  <c r="J27" i="71" s="1"/>
  <c r="S92" i="71"/>
  <c r="X92" i="71" s="1"/>
  <c r="Y16" i="71"/>
  <c r="Y83" i="71"/>
  <c r="T28" i="71"/>
  <c r="X13" i="71"/>
  <c r="Y13" i="71" s="1"/>
  <c r="Y50" i="71"/>
  <c r="S91" i="71"/>
  <c r="X91" i="71" s="1"/>
  <c r="Y14" i="71"/>
  <c r="J84" i="71"/>
  <c r="V87" i="71"/>
  <c r="J105" i="71"/>
  <c r="E46" i="71"/>
  <c r="J46" i="71" s="1"/>
  <c r="E42" i="71"/>
  <c r="J42" i="71" s="1"/>
  <c r="E48" i="71"/>
  <c r="J48" i="71" s="1"/>
  <c r="E44" i="71"/>
  <c r="J44" i="71" s="1"/>
  <c r="E49" i="71"/>
  <c r="J49" i="71" s="1"/>
  <c r="E45" i="71"/>
  <c r="J45" i="71" s="1"/>
  <c r="E41" i="71"/>
  <c r="E47" i="71"/>
  <c r="J47" i="71" s="1"/>
  <c r="E43" i="71"/>
  <c r="J43" i="71" s="1"/>
  <c r="I84" i="71"/>
  <c r="S90" i="71"/>
  <c r="Y12" i="71"/>
  <c r="X28" i="71"/>
  <c r="V33" i="71" s="1"/>
  <c r="T55" i="71" s="1"/>
  <c r="X56" i="71" s="1"/>
  <c r="J103" i="71"/>
  <c r="Y97" i="71"/>
  <c r="E19" i="71"/>
  <c r="I19" i="71" s="1"/>
  <c r="J19" i="71" s="1"/>
  <c r="V85" i="71"/>
  <c r="X102" i="71"/>
  <c r="E12" i="71"/>
  <c r="E22" i="71"/>
  <c r="I22" i="71" s="1"/>
  <c r="J22" i="71" s="1"/>
  <c r="D91" i="71"/>
  <c r="E16" i="71"/>
  <c r="I16" i="71" s="1"/>
  <c r="E26" i="71"/>
  <c r="I26" i="71" s="1"/>
  <c r="J26" i="71" s="1"/>
  <c r="E15" i="71"/>
  <c r="I15" i="71" s="1"/>
  <c r="J15" i="71" s="1"/>
  <c r="E25" i="71"/>
  <c r="I25" i="71" s="1"/>
  <c r="J25" i="71" s="1"/>
  <c r="E13" i="71"/>
  <c r="I13" i="71" s="1"/>
  <c r="J13" i="71" s="1"/>
  <c r="Y96" i="70"/>
  <c r="T28" i="70"/>
  <c r="Y31" i="70"/>
  <c r="Y32" i="70" s="1"/>
  <c r="J32" i="70"/>
  <c r="Y83" i="70"/>
  <c r="Y12" i="70"/>
  <c r="X104" i="70"/>
  <c r="Y104" i="70" s="1"/>
  <c r="T52" i="70"/>
  <c r="X53" i="70" s="1"/>
  <c r="T58" i="70"/>
  <c r="X59" i="70" s="1"/>
  <c r="X71" i="70" s="1"/>
  <c r="T61" i="70"/>
  <c r="X62" i="70" s="1"/>
  <c r="X67" i="70" s="1"/>
  <c r="Y67" i="70" s="1"/>
  <c r="T64" i="70"/>
  <c r="X65" i="70" s="1"/>
  <c r="X70" i="70" s="1"/>
  <c r="Y70" i="70" s="1"/>
  <c r="J14" i="70"/>
  <c r="S91" i="70"/>
  <c r="X91" i="70" s="1"/>
  <c r="Y14" i="70"/>
  <c r="Y103" i="70"/>
  <c r="S92" i="70"/>
  <c r="X92" i="70" s="1"/>
  <c r="Y16" i="70"/>
  <c r="V87" i="70"/>
  <c r="J84" i="70"/>
  <c r="E44" i="70"/>
  <c r="J44" i="70" s="1"/>
  <c r="E48" i="70"/>
  <c r="J48" i="70" s="1"/>
  <c r="X13" i="70"/>
  <c r="Y13" i="70" s="1"/>
  <c r="V85" i="70"/>
  <c r="E15" i="70"/>
  <c r="I15" i="70" s="1"/>
  <c r="J15" i="70" s="1"/>
  <c r="E25" i="70"/>
  <c r="I25" i="70" s="1"/>
  <c r="J25" i="70" s="1"/>
  <c r="E12" i="70"/>
  <c r="E22" i="70"/>
  <c r="I22" i="70" s="1"/>
  <c r="J22" i="70" s="1"/>
  <c r="V71" i="70"/>
  <c r="X97" i="70"/>
  <c r="Y97" i="70" s="1"/>
  <c r="E43" i="70"/>
  <c r="J43" i="70" s="1"/>
  <c r="E47" i="70"/>
  <c r="J47" i="70" s="1"/>
  <c r="E41" i="70"/>
  <c r="E45" i="70"/>
  <c r="J45" i="70" s="1"/>
  <c r="E49" i="70"/>
  <c r="J49" i="70" s="1"/>
  <c r="D91" i="70"/>
  <c r="E16" i="70"/>
  <c r="I16" i="70" s="1"/>
  <c r="E26" i="70"/>
  <c r="I26" i="70" s="1"/>
  <c r="J26" i="70" s="1"/>
  <c r="E13" i="70"/>
  <c r="I13" i="70" s="1"/>
  <c r="J13" i="70" s="1"/>
  <c r="E42" i="70"/>
  <c r="J42" i="70" s="1"/>
  <c r="Y96" i="69"/>
  <c r="Y83" i="69"/>
  <c r="E46" i="69"/>
  <c r="J46" i="69" s="1"/>
  <c r="E42" i="69"/>
  <c r="J42" i="69" s="1"/>
  <c r="E48" i="69"/>
  <c r="J48" i="69" s="1"/>
  <c r="E44" i="69"/>
  <c r="J44" i="69" s="1"/>
  <c r="E47" i="69"/>
  <c r="J47" i="69" s="1"/>
  <c r="E43" i="69"/>
  <c r="J43" i="69" s="1"/>
  <c r="E49" i="69"/>
  <c r="J49" i="69" s="1"/>
  <c r="E45" i="69"/>
  <c r="J45" i="69" s="1"/>
  <c r="E41" i="69"/>
  <c r="Y14" i="69"/>
  <c r="Y105" i="69"/>
  <c r="Y50" i="69"/>
  <c r="T20" i="69"/>
  <c r="X20" i="69" s="1"/>
  <c r="Y20" i="69" s="1"/>
  <c r="I20" i="69"/>
  <c r="J20" i="69" s="1"/>
  <c r="J103" i="69"/>
  <c r="I23" i="69"/>
  <c r="J23" i="69" s="1"/>
  <c r="J84" i="69"/>
  <c r="J32" i="69"/>
  <c r="J105" i="69"/>
  <c r="V87" i="69"/>
  <c r="V85" i="69"/>
  <c r="E12" i="69"/>
  <c r="E22" i="69"/>
  <c r="D91" i="69"/>
  <c r="E16" i="69"/>
  <c r="E26" i="69"/>
  <c r="I17" i="69"/>
  <c r="J17" i="69" s="1"/>
  <c r="I27" i="69"/>
  <c r="J27" i="69" s="1"/>
  <c r="I14" i="69"/>
  <c r="I24" i="69"/>
  <c r="J24" i="69" s="1"/>
  <c r="I18" i="69"/>
  <c r="J18" i="69" s="1"/>
  <c r="T21" i="69"/>
  <c r="X21" i="69" s="1"/>
  <c r="Y21" i="69" s="1"/>
  <c r="E15" i="69"/>
  <c r="E25" i="69"/>
  <c r="E19" i="69"/>
  <c r="E13" i="69"/>
  <c r="Y96" i="68"/>
  <c r="E20" i="68"/>
  <c r="I20" i="68" s="1"/>
  <c r="J20" i="68" s="1"/>
  <c r="E21" i="68"/>
  <c r="T21" i="68" s="1"/>
  <c r="X21" i="68" s="1"/>
  <c r="Y21" i="68" s="1"/>
  <c r="E24" i="68"/>
  <c r="I24" i="68" s="1"/>
  <c r="J24" i="68" s="1"/>
  <c r="E27" i="68"/>
  <c r="T27" i="68" s="1"/>
  <c r="X27" i="68" s="1"/>
  <c r="Y27" i="68" s="1"/>
  <c r="J14" i="68"/>
  <c r="X104" i="68"/>
  <c r="Y104" i="68" s="1"/>
  <c r="J103" i="68"/>
  <c r="J105" i="68" s="1"/>
  <c r="Y31" i="68"/>
  <c r="Y32" i="68" s="1"/>
  <c r="J32" i="68"/>
  <c r="J84" i="68"/>
  <c r="I23" i="68"/>
  <c r="J23" i="68" s="1"/>
  <c r="T23" i="68"/>
  <c r="X23" i="68" s="1"/>
  <c r="Y23" i="68" s="1"/>
  <c r="V69" i="68"/>
  <c r="J98" i="68"/>
  <c r="V70" i="68"/>
  <c r="T14" i="68"/>
  <c r="X14" i="68" s="1"/>
  <c r="E15" i="68"/>
  <c r="E25" i="68"/>
  <c r="V102" i="68"/>
  <c r="V103" i="68" s="1"/>
  <c r="Y103" i="68" s="1"/>
  <c r="I18" i="68"/>
  <c r="J18" i="68" s="1"/>
  <c r="E12" i="68"/>
  <c r="E22" i="68"/>
  <c r="V71" i="68"/>
  <c r="V87" i="68"/>
  <c r="V83" i="68"/>
  <c r="Y83" i="68" s="1"/>
  <c r="I17" i="68"/>
  <c r="J17" i="68" s="1"/>
  <c r="T20" i="68"/>
  <c r="X20" i="68" s="1"/>
  <c r="Y20" i="68" s="1"/>
  <c r="I27" i="68"/>
  <c r="J27" i="68" s="1"/>
  <c r="E43" i="68"/>
  <c r="J43" i="68" s="1"/>
  <c r="E47" i="68"/>
  <c r="J47" i="68" s="1"/>
  <c r="I19" i="68"/>
  <c r="J19" i="68" s="1"/>
  <c r="D91" i="68"/>
  <c r="E16" i="68"/>
  <c r="E26" i="68"/>
  <c r="E44" i="68"/>
  <c r="J44" i="68" s="1"/>
  <c r="E48" i="68"/>
  <c r="J48" i="68" s="1"/>
  <c r="E41" i="68"/>
  <c r="E45" i="68"/>
  <c r="J45" i="68" s="1"/>
  <c r="E49" i="68"/>
  <c r="J49" i="68" s="1"/>
  <c r="E13" i="68"/>
  <c r="E42" i="68"/>
  <c r="J42" i="68" s="1"/>
  <c r="Y97" i="67"/>
  <c r="J98" i="67"/>
  <c r="Y96" i="67"/>
  <c r="E21" i="67"/>
  <c r="I21" i="67" s="1"/>
  <c r="J21" i="67" s="1"/>
  <c r="E24" i="67"/>
  <c r="I24" i="67" s="1"/>
  <c r="J24" i="67" s="1"/>
  <c r="E27" i="67"/>
  <c r="T27" i="67" s="1"/>
  <c r="X27" i="67" s="1"/>
  <c r="Y27" i="67" s="1"/>
  <c r="E46" i="67"/>
  <c r="J46" i="67" s="1"/>
  <c r="E42" i="67"/>
  <c r="J42" i="67" s="1"/>
  <c r="E48" i="67"/>
  <c r="J48" i="67" s="1"/>
  <c r="E44" i="67"/>
  <c r="J44" i="67" s="1"/>
  <c r="E49" i="67"/>
  <c r="J49" i="67" s="1"/>
  <c r="E45" i="67"/>
  <c r="J45" i="67" s="1"/>
  <c r="E41" i="67"/>
  <c r="E47" i="67"/>
  <c r="J47" i="67" s="1"/>
  <c r="E43" i="67"/>
  <c r="J43" i="67" s="1"/>
  <c r="Y83" i="67"/>
  <c r="J32" i="67"/>
  <c r="J14" i="67"/>
  <c r="Y50" i="67"/>
  <c r="J103" i="67"/>
  <c r="J105" i="67" s="1"/>
  <c r="I20" i="67"/>
  <c r="J20" i="67" s="1"/>
  <c r="T20" i="67"/>
  <c r="X20" i="67" s="1"/>
  <c r="Y20" i="67" s="1"/>
  <c r="I23" i="67"/>
  <c r="J23" i="67" s="1"/>
  <c r="I17" i="67"/>
  <c r="J17" i="67" s="1"/>
  <c r="I27" i="67"/>
  <c r="J27" i="67" s="1"/>
  <c r="I18" i="67"/>
  <c r="J18" i="67" s="1"/>
  <c r="T21" i="67"/>
  <c r="X21" i="67" s="1"/>
  <c r="Y21" i="67" s="1"/>
  <c r="V85" i="67"/>
  <c r="E12" i="67"/>
  <c r="E22" i="67"/>
  <c r="D91" i="67"/>
  <c r="E16" i="67"/>
  <c r="E26" i="67"/>
  <c r="T14" i="67"/>
  <c r="X14" i="67" s="1"/>
  <c r="E15" i="67"/>
  <c r="E25" i="67"/>
  <c r="E19" i="67"/>
  <c r="E13" i="67"/>
  <c r="J98" i="66"/>
  <c r="E18" i="66"/>
  <c r="E21" i="66"/>
  <c r="E22" i="66"/>
  <c r="X104" i="66"/>
  <c r="Y104" i="66" s="1"/>
  <c r="J103" i="66"/>
  <c r="J105" i="66" s="1"/>
  <c r="E46" i="66"/>
  <c r="J46" i="66" s="1"/>
  <c r="E42" i="66"/>
  <c r="J42" i="66" s="1"/>
  <c r="E49" i="66"/>
  <c r="J49" i="66" s="1"/>
  <c r="E45" i="66"/>
  <c r="J45" i="66" s="1"/>
  <c r="E41" i="66"/>
  <c r="E48" i="66"/>
  <c r="J48" i="66" s="1"/>
  <c r="E44" i="66"/>
  <c r="J44" i="66" s="1"/>
  <c r="E47" i="66"/>
  <c r="J47" i="66" s="1"/>
  <c r="E43" i="66"/>
  <c r="J43" i="66" s="1"/>
  <c r="J32" i="66"/>
  <c r="J12" i="66"/>
  <c r="Y83" i="66"/>
  <c r="Y97" i="66"/>
  <c r="Y50" i="66"/>
  <c r="J14" i="66"/>
  <c r="V87" i="66"/>
  <c r="E15" i="66"/>
  <c r="E25" i="66"/>
  <c r="V102" i="66"/>
  <c r="V103" i="66" s="1"/>
  <c r="Y103" i="66" s="1"/>
  <c r="E19" i="66"/>
  <c r="V86" i="66"/>
  <c r="D91" i="66"/>
  <c r="E16" i="66"/>
  <c r="E26" i="66"/>
  <c r="E13" i="66"/>
  <c r="Y96" i="65"/>
  <c r="J38" i="65"/>
  <c r="E24" i="65"/>
  <c r="I24" i="65" s="1"/>
  <c r="J24" i="65" s="1"/>
  <c r="T28" i="65"/>
  <c r="T52" i="65" s="1"/>
  <c r="X53" i="65" s="1"/>
  <c r="E17" i="65"/>
  <c r="I17" i="65" s="1"/>
  <c r="J17" i="65" s="1"/>
  <c r="E18" i="65"/>
  <c r="I18" i="65" s="1"/>
  <c r="J18" i="65" s="1"/>
  <c r="Y97" i="65"/>
  <c r="Y83" i="65"/>
  <c r="J14" i="65"/>
  <c r="S92" i="65"/>
  <c r="X92" i="65" s="1"/>
  <c r="Y16" i="65"/>
  <c r="Y70" i="65"/>
  <c r="Y31" i="65"/>
  <c r="Y32" i="65" s="1"/>
  <c r="J32" i="65"/>
  <c r="J105" i="65"/>
  <c r="J84" i="65"/>
  <c r="Y12" i="65"/>
  <c r="S90" i="65"/>
  <c r="X28" i="65"/>
  <c r="V33" i="65" s="1"/>
  <c r="T55" i="65" s="1"/>
  <c r="X56" i="65" s="1"/>
  <c r="T64" i="65"/>
  <c r="X65" i="65" s="1"/>
  <c r="X70" i="65" s="1"/>
  <c r="S91" i="65"/>
  <c r="X91" i="65" s="1"/>
  <c r="Y14" i="65"/>
  <c r="J103" i="65"/>
  <c r="V69" i="65"/>
  <c r="D91" i="65"/>
  <c r="V87" i="65"/>
  <c r="J98" i="65"/>
  <c r="E44" i="65"/>
  <c r="J44" i="65" s="1"/>
  <c r="E48" i="65"/>
  <c r="J48" i="65" s="1"/>
  <c r="E19" i="65"/>
  <c r="I19" i="65" s="1"/>
  <c r="J19" i="65" s="1"/>
  <c r="E16" i="65"/>
  <c r="I16" i="65" s="1"/>
  <c r="E26" i="65"/>
  <c r="I26" i="65" s="1"/>
  <c r="J26" i="65" s="1"/>
  <c r="X13" i="65"/>
  <c r="Y13" i="65" s="1"/>
  <c r="E43" i="65"/>
  <c r="J43" i="65" s="1"/>
  <c r="E47" i="65"/>
  <c r="J47" i="65" s="1"/>
  <c r="V85" i="65"/>
  <c r="E22" i="65"/>
  <c r="I22" i="65" s="1"/>
  <c r="J22" i="65" s="1"/>
  <c r="E41" i="65"/>
  <c r="E45" i="65"/>
  <c r="J45" i="65" s="1"/>
  <c r="E49" i="65"/>
  <c r="J49" i="65" s="1"/>
  <c r="E15" i="65"/>
  <c r="I15" i="65" s="1"/>
  <c r="J15" i="65" s="1"/>
  <c r="E25" i="65"/>
  <c r="I25" i="65" s="1"/>
  <c r="J25" i="65" s="1"/>
  <c r="E12" i="65"/>
  <c r="E13" i="65"/>
  <c r="I13" i="65" s="1"/>
  <c r="J13" i="65" s="1"/>
  <c r="E42" i="65"/>
  <c r="J42" i="65" s="1"/>
  <c r="E17" i="64"/>
  <c r="T17" i="64" s="1"/>
  <c r="X17" i="64" s="1"/>
  <c r="Y17" i="64" s="1"/>
  <c r="X102" i="64"/>
  <c r="I84" i="64"/>
  <c r="J84" i="64" s="1"/>
  <c r="D90" i="64"/>
  <c r="E18" i="64"/>
  <c r="T18" i="64" s="1"/>
  <c r="X18" i="64" s="1"/>
  <c r="Y18" i="64" s="1"/>
  <c r="E20" i="64"/>
  <c r="T20" i="64" s="1"/>
  <c r="X20" i="64" s="1"/>
  <c r="Y20" i="64" s="1"/>
  <c r="E24" i="64"/>
  <c r="I24" i="64" s="1"/>
  <c r="J24" i="64" s="1"/>
  <c r="E27" i="64"/>
  <c r="T27" i="64" s="1"/>
  <c r="X27" i="64" s="1"/>
  <c r="Y27" i="64" s="1"/>
  <c r="J46" i="64"/>
  <c r="Y50" i="64"/>
  <c r="J102" i="64"/>
  <c r="D92" i="64"/>
  <c r="Y96" i="64"/>
  <c r="Y31" i="64"/>
  <c r="Y32" i="64" s="1"/>
  <c r="J32" i="64"/>
  <c r="J14" i="64"/>
  <c r="J103" i="64"/>
  <c r="Y103" i="64"/>
  <c r="I23" i="64"/>
  <c r="J23" i="64" s="1"/>
  <c r="T23" i="64"/>
  <c r="X23" i="64" s="1"/>
  <c r="Y23" i="64" s="1"/>
  <c r="J97" i="64"/>
  <c r="V69" i="64"/>
  <c r="J98" i="64"/>
  <c r="E21" i="64"/>
  <c r="V70" i="64"/>
  <c r="T14" i="64"/>
  <c r="X14" i="64" s="1"/>
  <c r="T24" i="64"/>
  <c r="X24" i="64" s="1"/>
  <c r="Y24" i="64" s="1"/>
  <c r="V85" i="64"/>
  <c r="E12" i="64"/>
  <c r="E22" i="64"/>
  <c r="V71" i="64"/>
  <c r="I20" i="64"/>
  <c r="J20" i="64" s="1"/>
  <c r="V83" i="64"/>
  <c r="Y83" i="64" s="1"/>
  <c r="I27" i="64"/>
  <c r="J27" i="64" s="1"/>
  <c r="E43" i="64"/>
  <c r="J43" i="64" s="1"/>
  <c r="E47" i="64"/>
  <c r="J47" i="64" s="1"/>
  <c r="D91" i="64"/>
  <c r="E44" i="64"/>
  <c r="J44" i="64" s="1"/>
  <c r="E48" i="64"/>
  <c r="J48" i="64" s="1"/>
  <c r="I18" i="64"/>
  <c r="J18" i="64" s="1"/>
  <c r="E16" i="64"/>
  <c r="E26" i="64"/>
  <c r="E15" i="64"/>
  <c r="E25" i="64"/>
  <c r="E41" i="64"/>
  <c r="E45" i="64"/>
  <c r="J45" i="64" s="1"/>
  <c r="E49" i="64"/>
  <c r="J49" i="64" s="1"/>
  <c r="E19" i="64"/>
  <c r="E13" i="64"/>
  <c r="E42" i="64"/>
  <c r="J42" i="64" s="1"/>
  <c r="Y38" i="63"/>
  <c r="Y97" i="63"/>
  <c r="J98" i="63"/>
  <c r="Y96" i="63"/>
  <c r="E46" i="63"/>
  <c r="J46" i="63" s="1"/>
  <c r="E42" i="63"/>
  <c r="J42" i="63" s="1"/>
  <c r="E49" i="63"/>
  <c r="J49" i="63" s="1"/>
  <c r="E45" i="63"/>
  <c r="J45" i="63" s="1"/>
  <c r="E41" i="63"/>
  <c r="E48" i="63"/>
  <c r="J48" i="63" s="1"/>
  <c r="E44" i="63"/>
  <c r="J44" i="63" s="1"/>
  <c r="E47" i="63"/>
  <c r="J47" i="63" s="1"/>
  <c r="E43" i="63"/>
  <c r="J43" i="63" s="1"/>
  <c r="Y83" i="63"/>
  <c r="J84" i="63"/>
  <c r="Y102" i="63"/>
  <c r="X104" i="63"/>
  <c r="Y104" i="63" s="1"/>
  <c r="Y31" i="63"/>
  <c r="Y32" i="63" s="1"/>
  <c r="J32" i="63"/>
  <c r="Y50" i="63"/>
  <c r="Y103" i="63"/>
  <c r="T17" i="63"/>
  <c r="X17" i="63" s="1"/>
  <c r="Y17" i="63" s="1"/>
  <c r="T27" i="63"/>
  <c r="X27" i="63" s="1"/>
  <c r="Y27" i="63" s="1"/>
  <c r="T20" i="63"/>
  <c r="X20" i="63" s="1"/>
  <c r="Y20" i="63" s="1"/>
  <c r="D92" i="63"/>
  <c r="E14" i="63"/>
  <c r="E24" i="63"/>
  <c r="E21" i="63"/>
  <c r="V70" i="63"/>
  <c r="D90" i="63"/>
  <c r="E18" i="63"/>
  <c r="E15" i="63"/>
  <c r="E25" i="63"/>
  <c r="V102" i="63"/>
  <c r="V103" i="63" s="1"/>
  <c r="E19" i="63"/>
  <c r="V86" i="63"/>
  <c r="E12" i="63"/>
  <c r="E22" i="63"/>
  <c r="D91" i="63"/>
  <c r="E16" i="63"/>
  <c r="E26" i="63"/>
  <c r="E13" i="63"/>
  <c r="Y38" i="62"/>
  <c r="Y97" i="62"/>
  <c r="J98" i="62"/>
  <c r="Y96" i="62"/>
  <c r="D45" i="56"/>
  <c r="C45" i="56"/>
  <c r="Y83" i="62"/>
  <c r="E46" i="62"/>
  <c r="J46" i="62" s="1"/>
  <c r="E42" i="62"/>
  <c r="J42" i="62" s="1"/>
  <c r="E48" i="62"/>
  <c r="J48" i="62" s="1"/>
  <c r="E44" i="62"/>
  <c r="J44" i="62" s="1"/>
  <c r="E47" i="62"/>
  <c r="J47" i="62" s="1"/>
  <c r="E43" i="62"/>
  <c r="J43" i="62" s="1"/>
  <c r="E49" i="62"/>
  <c r="J49" i="62" s="1"/>
  <c r="E45" i="62"/>
  <c r="J45" i="62" s="1"/>
  <c r="E41" i="62"/>
  <c r="J84" i="62"/>
  <c r="J105" i="62"/>
  <c r="Y31" i="62"/>
  <c r="Y32" i="62" s="1"/>
  <c r="J32" i="62"/>
  <c r="J14" i="62"/>
  <c r="Y50" i="62"/>
  <c r="V87" i="62"/>
  <c r="T14" i="62"/>
  <c r="X14" i="62" s="1"/>
  <c r="I21" i="62"/>
  <c r="J21" i="62" s="1"/>
  <c r="T24" i="62"/>
  <c r="X24" i="62" s="1"/>
  <c r="Y24" i="62" s="1"/>
  <c r="V85" i="62"/>
  <c r="E12" i="62"/>
  <c r="E22" i="62"/>
  <c r="D91" i="62"/>
  <c r="E16" i="62"/>
  <c r="E26" i="62"/>
  <c r="I17" i="62"/>
  <c r="J17" i="62" s="1"/>
  <c r="T20" i="62"/>
  <c r="X20" i="62" s="1"/>
  <c r="Y20" i="62" s="1"/>
  <c r="I27" i="62"/>
  <c r="J27" i="62" s="1"/>
  <c r="I18" i="62"/>
  <c r="J18" i="62" s="1"/>
  <c r="E15" i="62"/>
  <c r="E25" i="62"/>
  <c r="E19" i="62"/>
  <c r="E13" i="62"/>
  <c r="Y96" i="61"/>
  <c r="Y96" i="58"/>
  <c r="Y96" i="59"/>
  <c r="J84" i="61"/>
  <c r="E43" i="61"/>
  <c r="J43" i="61" s="1"/>
  <c r="E21" i="61"/>
  <c r="Y31" i="61"/>
  <c r="Y32" i="61" s="1"/>
  <c r="J32" i="61"/>
  <c r="Y12" i="61"/>
  <c r="J14" i="61"/>
  <c r="J103" i="61"/>
  <c r="Y50" i="61"/>
  <c r="Y103" i="61"/>
  <c r="Y105" i="61" s="1"/>
  <c r="V69" i="61"/>
  <c r="I104" i="61"/>
  <c r="J104" i="61" s="1"/>
  <c r="J105" i="61" s="1"/>
  <c r="X97" i="61"/>
  <c r="Y97" i="61" s="1"/>
  <c r="E17" i="61"/>
  <c r="E27" i="61"/>
  <c r="V83" i="61"/>
  <c r="Y83" i="61" s="1"/>
  <c r="X14" i="61"/>
  <c r="E44" i="61"/>
  <c r="J44" i="61" s="1"/>
  <c r="E48" i="61"/>
  <c r="J48" i="61" s="1"/>
  <c r="D91" i="61"/>
  <c r="E16" i="61"/>
  <c r="E26" i="61"/>
  <c r="V85" i="61"/>
  <c r="E12" i="61"/>
  <c r="T12" i="61" s="1"/>
  <c r="X12" i="61" s="1"/>
  <c r="E22" i="61"/>
  <c r="E41" i="61"/>
  <c r="E45" i="61"/>
  <c r="J45" i="61" s="1"/>
  <c r="E49" i="61"/>
  <c r="J49" i="61" s="1"/>
  <c r="E19" i="61"/>
  <c r="E15" i="61"/>
  <c r="E25" i="61"/>
  <c r="E13" i="61"/>
  <c r="E42" i="61"/>
  <c r="J42" i="61" s="1"/>
  <c r="E24" i="60"/>
  <c r="I24" i="60" s="1"/>
  <c r="J24" i="60" s="1"/>
  <c r="T28" i="60"/>
  <c r="T58" i="60" s="1"/>
  <c r="X59" i="60" s="1"/>
  <c r="X71" i="60" s="1"/>
  <c r="E17" i="60"/>
  <c r="I17" i="60" s="1"/>
  <c r="J17" i="60" s="1"/>
  <c r="S91" i="60"/>
  <c r="X91" i="60" s="1"/>
  <c r="Y14" i="60"/>
  <c r="Y103" i="60"/>
  <c r="Y31" i="60"/>
  <c r="Y32" i="60" s="1"/>
  <c r="J32" i="60"/>
  <c r="J14" i="60"/>
  <c r="J103" i="60"/>
  <c r="J105" i="60" s="1"/>
  <c r="S92" i="60"/>
  <c r="X92" i="60" s="1"/>
  <c r="Y16" i="60"/>
  <c r="Y12" i="60"/>
  <c r="J84" i="60"/>
  <c r="E44" i="60"/>
  <c r="J44" i="60" s="1"/>
  <c r="E48" i="60"/>
  <c r="J48" i="60" s="1"/>
  <c r="E15" i="60"/>
  <c r="I15" i="60" s="1"/>
  <c r="J15" i="60" s="1"/>
  <c r="E25" i="60"/>
  <c r="I25" i="60" s="1"/>
  <c r="J25" i="60" s="1"/>
  <c r="X97" i="60"/>
  <c r="Y97" i="60" s="1"/>
  <c r="X13" i="60"/>
  <c r="Y13" i="60" s="1"/>
  <c r="E43" i="60"/>
  <c r="J43" i="60" s="1"/>
  <c r="E47" i="60"/>
  <c r="J47" i="60" s="1"/>
  <c r="E12" i="60"/>
  <c r="E22" i="60"/>
  <c r="I22" i="60" s="1"/>
  <c r="J22" i="60" s="1"/>
  <c r="V71" i="60"/>
  <c r="D91" i="60"/>
  <c r="E41" i="60"/>
  <c r="E45" i="60"/>
  <c r="J45" i="60" s="1"/>
  <c r="E49" i="60"/>
  <c r="J49" i="60" s="1"/>
  <c r="E19" i="60"/>
  <c r="I19" i="60" s="1"/>
  <c r="J19" i="60" s="1"/>
  <c r="E16" i="60"/>
  <c r="I16" i="60" s="1"/>
  <c r="E26" i="60"/>
  <c r="I26" i="60" s="1"/>
  <c r="J26" i="60" s="1"/>
  <c r="E13" i="60"/>
  <c r="I13" i="60" s="1"/>
  <c r="J13" i="60" s="1"/>
  <c r="E42" i="60"/>
  <c r="J42" i="60" s="1"/>
  <c r="Y38" i="59"/>
  <c r="E12" i="59"/>
  <c r="I12" i="59" s="1"/>
  <c r="E14" i="59"/>
  <c r="I14" i="59" s="1"/>
  <c r="E15" i="59"/>
  <c r="T15" i="59" s="1"/>
  <c r="X15" i="59" s="1"/>
  <c r="Y15" i="59" s="1"/>
  <c r="E17" i="59"/>
  <c r="E18" i="59"/>
  <c r="I23" i="59"/>
  <c r="J23" i="59" s="1"/>
  <c r="E24" i="59"/>
  <c r="I24" i="59" s="1"/>
  <c r="J24" i="59" s="1"/>
  <c r="E21" i="59"/>
  <c r="I21" i="59" s="1"/>
  <c r="J21" i="59" s="1"/>
  <c r="E25" i="59"/>
  <c r="T25" i="59" s="1"/>
  <c r="X25" i="59" s="1"/>
  <c r="Y25" i="59" s="1"/>
  <c r="E19" i="59"/>
  <c r="T19" i="59" s="1"/>
  <c r="X19" i="59" s="1"/>
  <c r="Y19" i="59" s="1"/>
  <c r="E20" i="59"/>
  <c r="T20" i="59" s="1"/>
  <c r="X20" i="59" s="1"/>
  <c r="Y20" i="59" s="1"/>
  <c r="E22" i="59"/>
  <c r="I22" i="59" s="1"/>
  <c r="J22" i="59" s="1"/>
  <c r="E27" i="59"/>
  <c r="T27" i="59" s="1"/>
  <c r="X27" i="59" s="1"/>
  <c r="Y27" i="59" s="1"/>
  <c r="I20" i="59"/>
  <c r="J20" i="59" s="1"/>
  <c r="E46" i="59"/>
  <c r="J46" i="59" s="1"/>
  <c r="E42" i="59"/>
  <c r="J42" i="59" s="1"/>
  <c r="E49" i="59"/>
  <c r="J49" i="59" s="1"/>
  <c r="E45" i="59"/>
  <c r="J45" i="59" s="1"/>
  <c r="E41" i="59"/>
  <c r="E47" i="59"/>
  <c r="J47" i="59" s="1"/>
  <c r="E43" i="59"/>
  <c r="J43" i="59" s="1"/>
  <c r="E48" i="59"/>
  <c r="J48" i="59" s="1"/>
  <c r="E44" i="59"/>
  <c r="J44" i="59" s="1"/>
  <c r="J12" i="59"/>
  <c r="Y50" i="59"/>
  <c r="J14" i="59"/>
  <c r="J103" i="59"/>
  <c r="J105" i="59" s="1"/>
  <c r="I84" i="59"/>
  <c r="J84" i="59" s="1"/>
  <c r="Y83" i="59"/>
  <c r="T17" i="59"/>
  <c r="X17" i="59" s="1"/>
  <c r="Y17" i="59" s="1"/>
  <c r="I17" i="59"/>
  <c r="J17" i="59" s="1"/>
  <c r="Y104" i="59"/>
  <c r="T21" i="59"/>
  <c r="X21" i="59" s="1"/>
  <c r="Y21" i="59" s="1"/>
  <c r="T14" i="59"/>
  <c r="X14" i="59" s="1"/>
  <c r="T24" i="59"/>
  <c r="X24" i="59" s="1"/>
  <c r="Y24" i="59" s="1"/>
  <c r="T12" i="59"/>
  <c r="V86" i="59"/>
  <c r="D91" i="59"/>
  <c r="E16" i="59"/>
  <c r="E26" i="59"/>
  <c r="E13" i="59"/>
  <c r="D30" i="56"/>
  <c r="E31" i="56" s="1"/>
  <c r="H31" i="56" s="1"/>
  <c r="J38" i="58"/>
  <c r="E17" i="58"/>
  <c r="E18" i="58"/>
  <c r="E21" i="58"/>
  <c r="E24" i="58"/>
  <c r="E27" i="58"/>
  <c r="Y103" i="58"/>
  <c r="Y83" i="58"/>
  <c r="J103" i="58"/>
  <c r="J105" i="58" s="1"/>
  <c r="J32" i="58"/>
  <c r="Y31" i="58"/>
  <c r="Y32" i="58" s="1"/>
  <c r="J84" i="58"/>
  <c r="Y102" i="58"/>
  <c r="Y105" i="58" s="1"/>
  <c r="J98" i="58"/>
  <c r="D90" i="58"/>
  <c r="E15" i="58"/>
  <c r="E25" i="58"/>
  <c r="E44" i="58"/>
  <c r="J44" i="58" s="1"/>
  <c r="E48" i="58"/>
  <c r="J48" i="58" s="1"/>
  <c r="E12" i="58"/>
  <c r="T12" i="58" s="1"/>
  <c r="X12" i="58" s="1"/>
  <c r="E22" i="58"/>
  <c r="E19" i="58"/>
  <c r="V71" i="58"/>
  <c r="E43" i="58"/>
  <c r="J43" i="58" s="1"/>
  <c r="E47" i="58"/>
  <c r="J47" i="58" s="1"/>
  <c r="E45" i="58"/>
  <c r="J45" i="58" s="1"/>
  <c r="E26" i="58"/>
  <c r="D91" i="58"/>
  <c r="E13" i="58"/>
  <c r="E23" i="58"/>
  <c r="E41" i="58"/>
  <c r="E49" i="58"/>
  <c r="J49" i="58" s="1"/>
  <c r="E16" i="58"/>
  <c r="E42" i="58"/>
  <c r="J42" i="58" s="1"/>
  <c r="D56" i="54"/>
  <c r="E56" i="54"/>
  <c r="Y102" i="88" l="1"/>
  <c r="J105" i="88"/>
  <c r="Y28" i="89"/>
  <c r="Y102" i="89"/>
  <c r="Y105" i="89" s="1"/>
  <c r="X104" i="89"/>
  <c r="Y104" i="89" s="1"/>
  <c r="T61" i="89"/>
  <c r="X62" i="89" s="1"/>
  <c r="X67" i="89" s="1"/>
  <c r="Y67" i="89" s="1"/>
  <c r="B91" i="103"/>
  <c r="I91" i="103" s="1"/>
  <c r="J105" i="103"/>
  <c r="J105" i="105"/>
  <c r="Y102" i="105"/>
  <c r="Y105" i="105" s="1"/>
  <c r="X104" i="105"/>
  <c r="Y104" i="105" s="1"/>
  <c r="Y31" i="102"/>
  <c r="Y32" i="102" s="1"/>
  <c r="J32" i="102"/>
  <c r="Y102" i="102"/>
  <c r="Y105" i="102" s="1"/>
  <c r="I25" i="101"/>
  <c r="J25" i="101" s="1"/>
  <c r="T25" i="101"/>
  <c r="X25" i="101" s="1"/>
  <c r="Y25" i="101" s="1"/>
  <c r="I26" i="101"/>
  <c r="J26" i="101" s="1"/>
  <c r="T26" i="101"/>
  <c r="X26" i="101" s="1"/>
  <c r="Y26" i="101" s="1"/>
  <c r="I16" i="101"/>
  <c r="B92" i="101" s="1"/>
  <c r="I92" i="101" s="1"/>
  <c r="T16" i="101"/>
  <c r="X16" i="101" s="1"/>
  <c r="I13" i="101"/>
  <c r="J13" i="101" s="1"/>
  <c r="T13" i="101"/>
  <c r="I17" i="101"/>
  <c r="J17" i="101" s="1"/>
  <c r="T17" i="101"/>
  <c r="X17" i="101" s="1"/>
  <c r="Y17" i="101" s="1"/>
  <c r="I22" i="101"/>
  <c r="J22" i="101" s="1"/>
  <c r="T22" i="101"/>
  <c r="X22" i="101" s="1"/>
  <c r="Y22" i="101" s="1"/>
  <c r="I27" i="101"/>
  <c r="J27" i="101" s="1"/>
  <c r="T27" i="101"/>
  <c r="X27" i="101" s="1"/>
  <c r="Y27" i="101" s="1"/>
  <c r="I19" i="101"/>
  <c r="J19" i="101" s="1"/>
  <c r="T19" i="101"/>
  <c r="X19" i="101" s="1"/>
  <c r="Y19" i="101" s="1"/>
  <c r="I15" i="101"/>
  <c r="J15" i="101" s="1"/>
  <c r="T15" i="101"/>
  <c r="X15" i="101" s="1"/>
  <c r="I18" i="101"/>
  <c r="J18" i="101" s="1"/>
  <c r="T18" i="101"/>
  <c r="X18" i="101" s="1"/>
  <c r="Y18" i="101" s="1"/>
  <c r="T58" i="100"/>
  <c r="X59" i="100" s="1"/>
  <c r="X71" i="100" s="1"/>
  <c r="T52" i="100"/>
  <c r="X53" i="100" s="1"/>
  <c r="T64" i="100"/>
  <c r="X65" i="100" s="1"/>
  <c r="X70" i="100" s="1"/>
  <c r="Y70" i="100" s="1"/>
  <c r="Y105" i="97"/>
  <c r="X28" i="96"/>
  <c r="V33" i="96" s="1"/>
  <c r="T55" i="96" s="1"/>
  <c r="X56" i="96" s="1"/>
  <c r="J105" i="95"/>
  <c r="Y102" i="93"/>
  <c r="Y105" i="93" s="1"/>
  <c r="Y28" i="92"/>
  <c r="X28" i="92"/>
  <c r="V33" i="92" s="1"/>
  <c r="T55" i="92" s="1"/>
  <c r="X56" i="92" s="1"/>
  <c r="T61" i="87"/>
  <c r="X62" i="87" s="1"/>
  <c r="X67" i="87" s="1"/>
  <c r="Y67" i="87" s="1"/>
  <c r="T64" i="87"/>
  <c r="X65" i="87" s="1"/>
  <c r="X70" i="87" s="1"/>
  <c r="T58" i="87"/>
  <c r="X59" i="87" s="1"/>
  <c r="X71" i="87" s="1"/>
  <c r="Y71" i="87" s="1"/>
  <c r="Y102" i="87"/>
  <c r="Y105" i="87" s="1"/>
  <c r="T61" i="86"/>
  <c r="X62" i="86" s="1"/>
  <c r="X67" i="86" s="1"/>
  <c r="Y67" i="86" s="1"/>
  <c r="T64" i="86"/>
  <c r="X65" i="86" s="1"/>
  <c r="X70" i="86" s="1"/>
  <c r="Y70" i="86" s="1"/>
  <c r="Y102" i="85"/>
  <c r="X104" i="85"/>
  <c r="Y104" i="85" s="1"/>
  <c r="S90" i="84"/>
  <c r="Y102" i="84"/>
  <c r="Y105" i="84" s="1"/>
  <c r="Y102" i="83"/>
  <c r="Y102" i="81"/>
  <c r="Y105" i="81" s="1"/>
  <c r="X104" i="81"/>
  <c r="Y104" i="81" s="1"/>
  <c r="S90" i="80"/>
  <c r="T61" i="80"/>
  <c r="X62" i="80" s="1"/>
  <c r="X67" i="80" s="1"/>
  <c r="Y67" i="80" s="1"/>
  <c r="T58" i="80"/>
  <c r="X59" i="80" s="1"/>
  <c r="X71" i="80" s="1"/>
  <c r="X28" i="80"/>
  <c r="V33" i="80" s="1"/>
  <c r="T55" i="80" s="1"/>
  <c r="X56" i="80" s="1"/>
  <c r="T64" i="80"/>
  <c r="X65" i="80" s="1"/>
  <c r="X70" i="80" s="1"/>
  <c r="Y70" i="80" s="1"/>
  <c r="Y83" i="80"/>
  <c r="Y102" i="79"/>
  <c r="X104" i="79"/>
  <c r="Y104" i="79" s="1"/>
  <c r="Y105" i="79" s="1"/>
  <c r="I15" i="76"/>
  <c r="J15" i="76" s="1"/>
  <c r="T15" i="76"/>
  <c r="X15" i="76" s="1"/>
  <c r="Y15" i="76" s="1"/>
  <c r="I26" i="76"/>
  <c r="J26" i="76" s="1"/>
  <c r="T26" i="76"/>
  <c r="X26" i="76" s="1"/>
  <c r="Y26" i="76" s="1"/>
  <c r="I13" i="76"/>
  <c r="J13" i="76" s="1"/>
  <c r="T13" i="76"/>
  <c r="I18" i="76"/>
  <c r="J18" i="76" s="1"/>
  <c r="T18" i="76"/>
  <c r="X18" i="76" s="1"/>
  <c r="Y18" i="76" s="1"/>
  <c r="I17" i="76"/>
  <c r="J17" i="76" s="1"/>
  <c r="T17" i="76"/>
  <c r="X17" i="76" s="1"/>
  <c r="Y17" i="76" s="1"/>
  <c r="J105" i="76"/>
  <c r="I14" i="76"/>
  <c r="J14" i="76" s="1"/>
  <c r="T14" i="76"/>
  <c r="X14" i="76" s="1"/>
  <c r="I21" i="76"/>
  <c r="J21" i="76" s="1"/>
  <c r="T21" i="76"/>
  <c r="X21" i="76" s="1"/>
  <c r="Y21" i="76" s="1"/>
  <c r="I20" i="76"/>
  <c r="J20" i="76" s="1"/>
  <c r="T20" i="76"/>
  <c r="X20" i="76" s="1"/>
  <c r="Y20" i="76" s="1"/>
  <c r="I16" i="76"/>
  <c r="J16" i="76" s="1"/>
  <c r="T16" i="76"/>
  <c r="X16" i="76" s="1"/>
  <c r="I22" i="76"/>
  <c r="J22" i="76" s="1"/>
  <c r="T22" i="76"/>
  <c r="X22" i="76" s="1"/>
  <c r="Y22" i="76" s="1"/>
  <c r="I19" i="76"/>
  <c r="J19" i="76" s="1"/>
  <c r="T19" i="76"/>
  <c r="X19" i="76" s="1"/>
  <c r="Y19" i="76" s="1"/>
  <c r="I24" i="76"/>
  <c r="J24" i="76" s="1"/>
  <c r="T24" i="76"/>
  <c r="X24" i="76" s="1"/>
  <c r="Y24" i="76" s="1"/>
  <c r="I25" i="76"/>
  <c r="J25" i="76" s="1"/>
  <c r="T25" i="76"/>
  <c r="X25" i="76" s="1"/>
  <c r="Y25" i="76" s="1"/>
  <c r="I27" i="76"/>
  <c r="J27" i="76" s="1"/>
  <c r="T27" i="76"/>
  <c r="X27" i="76" s="1"/>
  <c r="Y27" i="76" s="1"/>
  <c r="T64" i="74"/>
  <c r="X65" i="74" s="1"/>
  <c r="X70" i="74" s="1"/>
  <c r="T61" i="74"/>
  <c r="X62" i="74" s="1"/>
  <c r="X67" i="74" s="1"/>
  <c r="Y67" i="74" s="1"/>
  <c r="T58" i="74"/>
  <c r="X59" i="74" s="1"/>
  <c r="X71" i="74" s="1"/>
  <c r="Y71" i="74" s="1"/>
  <c r="Y71" i="73"/>
  <c r="J105" i="72"/>
  <c r="S90" i="72"/>
  <c r="X28" i="72"/>
  <c r="V33" i="72" s="1"/>
  <c r="T55" i="72" s="1"/>
  <c r="X56" i="72" s="1"/>
  <c r="J32" i="71"/>
  <c r="Y102" i="70"/>
  <c r="T24" i="68"/>
  <c r="X24" i="68" s="1"/>
  <c r="Y24" i="68" s="1"/>
  <c r="I21" i="68"/>
  <c r="J21" i="68" s="1"/>
  <c r="T24" i="67"/>
  <c r="X24" i="67" s="1"/>
  <c r="Y24" i="67" s="1"/>
  <c r="Y102" i="67"/>
  <c r="Y105" i="67" s="1"/>
  <c r="I19" i="66"/>
  <c r="J19" i="66" s="1"/>
  <c r="T19" i="66"/>
  <c r="X19" i="66" s="1"/>
  <c r="Y19" i="66" s="1"/>
  <c r="I24" i="66"/>
  <c r="J24" i="66" s="1"/>
  <c r="T24" i="66"/>
  <c r="X24" i="66" s="1"/>
  <c r="Y24" i="66" s="1"/>
  <c r="I25" i="66"/>
  <c r="J25" i="66" s="1"/>
  <c r="T25" i="66"/>
  <c r="X25" i="66" s="1"/>
  <c r="Y25" i="66" s="1"/>
  <c r="I26" i="66"/>
  <c r="J26" i="66" s="1"/>
  <c r="T26" i="66"/>
  <c r="X26" i="66" s="1"/>
  <c r="Y26" i="66" s="1"/>
  <c r="I17" i="66"/>
  <c r="J17" i="66" s="1"/>
  <c r="T17" i="66"/>
  <c r="X17" i="66" s="1"/>
  <c r="Y17" i="66" s="1"/>
  <c r="I13" i="66"/>
  <c r="J13" i="66" s="1"/>
  <c r="T13" i="66"/>
  <c r="X13" i="66" s="1"/>
  <c r="Y13" i="66" s="1"/>
  <c r="I16" i="66"/>
  <c r="T16" i="66"/>
  <c r="X16" i="66" s="1"/>
  <c r="Y14" i="66"/>
  <c r="I22" i="66"/>
  <c r="J22" i="66" s="1"/>
  <c r="T22" i="66"/>
  <c r="X22" i="66" s="1"/>
  <c r="Y22" i="66" s="1"/>
  <c r="I15" i="66"/>
  <c r="T15" i="66"/>
  <c r="X15" i="66" s="1"/>
  <c r="Y15" i="66" s="1"/>
  <c r="I21" i="66"/>
  <c r="J21" i="66" s="1"/>
  <c r="T21" i="66"/>
  <c r="X21" i="66" s="1"/>
  <c r="Y21" i="66" s="1"/>
  <c r="I20" i="66"/>
  <c r="J20" i="66" s="1"/>
  <c r="T20" i="66"/>
  <c r="X20" i="66" s="1"/>
  <c r="Y20" i="66" s="1"/>
  <c r="I18" i="66"/>
  <c r="J18" i="66" s="1"/>
  <c r="T18" i="66"/>
  <c r="X18" i="66" s="1"/>
  <c r="Y18" i="66" s="1"/>
  <c r="Y102" i="65"/>
  <c r="X104" i="65"/>
  <c r="Y104" i="65" s="1"/>
  <c r="T58" i="65"/>
  <c r="X59" i="65" s="1"/>
  <c r="X71" i="65" s="1"/>
  <c r="Y71" i="65" s="1"/>
  <c r="T61" i="65"/>
  <c r="X62" i="65" s="1"/>
  <c r="X67" i="65" s="1"/>
  <c r="Y67" i="65" s="1"/>
  <c r="Y28" i="65"/>
  <c r="J105" i="64"/>
  <c r="I17" i="64"/>
  <c r="J17" i="64" s="1"/>
  <c r="Y102" i="62"/>
  <c r="Y105" i="62" s="1"/>
  <c r="I21" i="61"/>
  <c r="J21" i="61" s="1"/>
  <c r="T21" i="61"/>
  <c r="X21" i="61" s="1"/>
  <c r="Y21" i="61" s="1"/>
  <c r="I25" i="61"/>
  <c r="J25" i="61" s="1"/>
  <c r="T25" i="61"/>
  <c r="X25" i="61" s="1"/>
  <c r="Y25" i="61" s="1"/>
  <c r="I22" i="61"/>
  <c r="J22" i="61" s="1"/>
  <c r="T22" i="61"/>
  <c r="X22" i="61" s="1"/>
  <c r="Y22" i="61" s="1"/>
  <c r="I18" i="61"/>
  <c r="J18" i="61" s="1"/>
  <c r="T18" i="61"/>
  <c r="X18" i="61" s="1"/>
  <c r="Y18" i="61" s="1"/>
  <c r="I27" i="61"/>
  <c r="J27" i="61" s="1"/>
  <c r="T27" i="61"/>
  <c r="X27" i="61" s="1"/>
  <c r="Y27" i="61" s="1"/>
  <c r="I13" i="61"/>
  <c r="J13" i="61" s="1"/>
  <c r="T13" i="61"/>
  <c r="I15" i="61"/>
  <c r="J15" i="61" s="1"/>
  <c r="T15" i="61"/>
  <c r="X15" i="61" s="1"/>
  <c r="Y15" i="61" s="1"/>
  <c r="I19" i="61"/>
  <c r="J19" i="61" s="1"/>
  <c r="T19" i="61"/>
  <c r="X19" i="61" s="1"/>
  <c r="Y19" i="61" s="1"/>
  <c r="I20" i="61"/>
  <c r="J20" i="61" s="1"/>
  <c r="T20" i="61"/>
  <c r="X20" i="61" s="1"/>
  <c r="Y20" i="61" s="1"/>
  <c r="I16" i="61"/>
  <c r="J16" i="61" s="1"/>
  <c r="T16" i="61"/>
  <c r="X16" i="61" s="1"/>
  <c r="I17" i="61"/>
  <c r="J17" i="61" s="1"/>
  <c r="T17" i="61"/>
  <c r="X17" i="61" s="1"/>
  <c r="Y17" i="61" s="1"/>
  <c r="I26" i="61"/>
  <c r="J26" i="61" s="1"/>
  <c r="T26" i="61"/>
  <c r="X26" i="61" s="1"/>
  <c r="Y26" i="61" s="1"/>
  <c r="Y102" i="60"/>
  <c r="X104" i="60"/>
  <c r="Y104" i="60" s="1"/>
  <c r="Y102" i="59"/>
  <c r="Y105" i="59" s="1"/>
  <c r="I19" i="58"/>
  <c r="J19" i="58" s="1"/>
  <c r="T19" i="58"/>
  <c r="X19" i="58" s="1"/>
  <c r="Y19" i="58" s="1"/>
  <c r="I23" i="58"/>
  <c r="J23" i="58" s="1"/>
  <c r="T23" i="58"/>
  <c r="X23" i="58" s="1"/>
  <c r="Y23" i="58" s="1"/>
  <c r="I26" i="58"/>
  <c r="J26" i="58" s="1"/>
  <c r="T26" i="58"/>
  <c r="X26" i="58" s="1"/>
  <c r="Y26" i="58" s="1"/>
  <c r="I14" i="58"/>
  <c r="J14" i="58" s="1"/>
  <c r="T14" i="58"/>
  <c r="X14" i="58" s="1"/>
  <c r="Y12" i="58"/>
  <c r="I27" i="58"/>
  <c r="J27" i="58" s="1"/>
  <c r="T27" i="58"/>
  <c r="X27" i="58" s="1"/>
  <c r="Y27" i="58" s="1"/>
  <c r="I13" i="58"/>
  <c r="J13" i="58" s="1"/>
  <c r="T13" i="58"/>
  <c r="I21" i="58"/>
  <c r="J21" i="58" s="1"/>
  <c r="T21" i="58"/>
  <c r="X21" i="58" s="1"/>
  <c r="Y21" i="58" s="1"/>
  <c r="I22" i="58"/>
  <c r="J22" i="58" s="1"/>
  <c r="T22" i="58"/>
  <c r="X22" i="58" s="1"/>
  <c r="Y22" i="58" s="1"/>
  <c r="I16" i="58"/>
  <c r="J16" i="58" s="1"/>
  <c r="T16" i="58"/>
  <c r="X16" i="58" s="1"/>
  <c r="I18" i="58"/>
  <c r="J18" i="58" s="1"/>
  <c r="T18" i="58"/>
  <c r="X18" i="58" s="1"/>
  <c r="Y18" i="58" s="1"/>
  <c r="I15" i="58"/>
  <c r="J15" i="58" s="1"/>
  <c r="T15" i="58"/>
  <c r="X15" i="58" s="1"/>
  <c r="Y15" i="58" s="1"/>
  <c r="I17" i="58"/>
  <c r="J17" i="58" s="1"/>
  <c r="T17" i="58"/>
  <c r="X17" i="58" s="1"/>
  <c r="Y17" i="58" s="1"/>
  <c r="I25" i="58"/>
  <c r="J25" i="58" s="1"/>
  <c r="T25" i="58"/>
  <c r="X25" i="58" s="1"/>
  <c r="Y25" i="58" s="1"/>
  <c r="I24" i="58"/>
  <c r="J24" i="58" s="1"/>
  <c r="T24" i="58"/>
  <c r="X24" i="58" s="1"/>
  <c r="Y24" i="58" s="1"/>
  <c r="B91" i="105"/>
  <c r="J41" i="105"/>
  <c r="J50" i="105" s="1"/>
  <c r="E50" i="105"/>
  <c r="T58" i="105"/>
  <c r="X59" i="105" s="1"/>
  <c r="X71" i="105" s="1"/>
  <c r="Y71" i="105" s="1"/>
  <c r="T64" i="105"/>
  <c r="X65" i="105" s="1"/>
  <c r="X70" i="105" s="1"/>
  <c r="Y70" i="105" s="1"/>
  <c r="T52" i="105"/>
  <c r="X53" i="105" s="1"/>
  <c r="T61" i="105"/>
  <c r="X62" i="105" s="1"/>
  <c r="X67" i="105" s="1"/>
  <c r="Y67" i="105" s="1"/>
  <c r="E28" i="105"/>
  <c r="O54" i="54" s="1" a="1"/>
  <c r="O54" i="54" s="1"/>
  <c r="I13" i="105"/>
  <c r="I91" i="105"/>
  <c r="J16" i="105"/>
  <c r="B92" i="105"/>
  <c r="I92" i="105" s="1"/>
  <c r="S90" i="105"/>
  <c r="X28" i="105"/>
  <c r="V33" i="105" s="1"/>
  <c r="T55" i="105" s="1"/>
  <c r="X56" i="105" s="1"/>
  <c r="Y28" i="105"/>
  <c r="Y33" i="105" s="1"/>
  <c r="X86" i="104"/>
  <c r="Y86" i="104" s="1"/>
  <c r="X85" i="104"/>
  <c r="Y85" i="104" s="1"/>
  <c r="Y28" i="104"/>
  <c r="J16" i="104"/>
  <c r="B92" i="104"/>
  <c r="I92" i="104" s="1"/>
  <c r="Y105" i="104"/>
  <c r="I12" i="104"/>
  <c r="E28" i="104"/>
  <c r="O53" i="54" s="1" a="1"/>
  <c r="O53" i="54" s="1"/>
  <c r="X90" i="104"/>
  <c r="S93" i="104"/>
  <c r="Y93" i="104"/>
  <c r="Y33" i="104"/>
  <c r="B91" i="104"/>
  <c r="I91" i="104" s="1"/>
  <c r="J41" i="104"/>
  <c r="J50" i="104" s="1"/>
  <c r="E50" i="104"/>
  <c r="T52" i="104"/>
  <c r="X53" i="104" s="1"/>
  <c r="T58" i="104"/>
  <c r="X59" i="104" s="1"/>
  <c r="X71" i="104" s="1"/>
  <c r="Y71" i="104" s="1"/>
  <c r="T61" i="104"/>
  <c r="X62" i="104" s="1"/>
  <c r="X67" i="104" s="1"/>
  <c r="Y67" i="104" s="1"/>
  <c r="T64" i="104"/>
  <c r="X65" i="104" s="1"/>
  <c r="X70" i="104" s="1"/>
  <c r="Y70" i="104" s="1"/>
  <c r="J16" i="103"/>
  <c r="B92" i="103"/>
  <c r="I92" i="103" s="1"/>
  <c r="E28" i="103"/>
  <c r="O52" i="54" s="1" a="1"/>
  <c r="O52" i="54" s="1"/>
  <c r="I13" i="103"/>
  <c r="X28" i="103"/>
  <c r="V33" i="103" s="1"/>
  <c r="T55" i="103" s="1"/>
  <c r="X56" i="103" s="1"/>
  <c r="S90" i="103"/>
  <c r="Y28" i="103"/>
  <c r="Y33" i="103" s="1"/>
  <c r="X87" i="103"/>
  <c r="Y87" i="103" s="1"/>
  <c r="X69" i="103"/>
  <c r="Y69" i="103" s="1"/>
  <c r="E50" i="103"/>
  <c r="J41" i="103"/>
  <c r="J50" i="103" s="1"/>
  <c r="Y14" i="102"/>
  <c r="J41" i="102"/>
  <c r="J50" i="102" s="1"/>
  <c r="E50" i="102"/>
  <c r="I16" i="102"/>
  <c r="T16" i="102"/>
  <c r="X16" i="102" s="1"/>
  <c r="I26" i="102"/>
  <c r="J26" i="102" s="1"/>
  <c r="T26" i="102"/>
  <c r="X26" i="102" s="1"/>
  <c r="Y26" i="102" s="1"/>
  <c r="T22" i="102"/>
  <c r="X22" i="102" s="1"/>
  <c r="Y22" i="102" s="1"/>
  <c r="I22" i="102"/>
  <c r="J22" i="102" s="1"/>
  <c r="T13" i="102"/>
  <c r="X13" i="102" s="1"/>
  <c r="Y13" i="102" s="1"/>
  <c r="I13" i="102"/>
  <c r="J13" i="102" s="1"/>
  <c r="T19" i="102"/>
  <c r="X19" i="102" s="1"/>
  <c r="Y19" i="102" s="1"/>
  <c r="I19" i="102"/>
  <c r="J19" i="102" s="1"/>
  <c r="T12" i="102"/>
  <c r="I12" i="102"/>
  <c r="E28" i="102"/>
  <c r="O51" i="54" s="1" a="1"/>
  <c r="O51" i="54" s="1"/>
  <c r="T25" i="102"/>
  <c r="X25" i="102" s="1"/>
  <c r="Y25" i="102" s="1"/>
  <c r="I25" i="102"/>
  <c r="J25" i="102" s="1"/>
  <c r="T15" i="102"/>
  <c r="X15" i="102" s="1"/>
  <c r="Y15" i="102" s="1"/>
  <c r="I15" i="102"/>
  <c r="E28" i="101"/>
  <c r="O50" i="54" s="1" a="1"/>
  <c r="O50" i="54" s="1"/>
  <c r="I12" i="101"/>
  <c r="X104" i="101"/>
  <c r="Y104" i="101" s="1"/>
  <c r="Y102" i="101"/>
  <c r="Y105" i="101" s="1"/>
  <c r="B91" i="101"/>
  <c r="I91" i="101" s="1"/>
  <c r="J41" i="101"/>
  <c r="J50" i="101" s="1"/>
  <c r="E50" i="101"/>
  <c r="S90" i="100"/>
  <c r="X28" i="100"/>
  <c r="V33" i="100" s="1"/>
  <c r="T55" i="100" s="1"/>
  <c r="X56" i="100" s="1"/>
  <c r="Y28" i="100"/>
  <c r="Y33" i="100" s="1"/>
  <c r="X86" i="100"/>
  <c r="Y86" i="100" s="1"/>
  <c r="X85" i="100"/>
  <c r="Y85" i="100" s="1"/>
  <c r="J16" i="100"/>
  <c r="B92" i="100"/>
  <c r="I92" i="100" s="1"/>
  <c r="J41" i="100"/>
  <c r="J50" i="100" s="1"/>
  <c r="E50" i="100"/>
  <c r="X87" i="100"/>
  <c r="Y87" i="100" s="1"/>
  <c r="X69" i="100"/>
  <c r="Y69" i="100" s="1"/>
  <c r="B91" i="100"/>
  <c r="I91" i="100" s="1"/>
  <c r="X90" i="100"/>
  <c r="Y93" i="100" s="1"/>
  <c r="S93" i="100"/>
  <c r="Y71" i="100"/>
  <c r="Y105" i="100"/>
  <c r="I12" i="100"/>
  <c r="E28" i="100"/>
  <c r="O49" i="54" s="1" a="1"/>
  <c r="O49" i="54" s="1"/>
  <c r="E50" i="99"/>
  <c r="J41" i="99"/>
  <c r="J50" i="99" s="1"/>
  <c r="T64" i="99"/>
  <c r="X65" i="99" s="1"/>
  <c r="X70" i="99" s="1"/>
  <c r="Y70" i="99" s="1"/>
  <c r="T61" i="99"/>
  <c r="X62" i="99" s="1"/>
  <c r="X67" i="99" s="1"/>
  <c r="Y67" i="99" s="1"/>
  <c r="T58" i="99"/>
  <c r="X59" i="99" s="1"/>
  <c r="X71" i="99" s="1"/>
  <c r="Y71" i="99" s="1"/>
  <c r="T52" i="99"/>
  <c r="X53" i="99" s="1"/>
  <c r="I12" i="99"/>
  <c r="E28" i="99"/>
  <c r="O48" i="54" s="1" a="1"/>
  <c r="O48" i="54" s="1"/>
  <c r="Y102" i="99"/>
  <c r="X104" i="99"/>
  <c r="Y104" i="99" s="1"/>
  <c r="B91" i="99"/>
  <c r="I91" i="99" s="1"/>
  <c r="X86" i="99"/>
  <c r="Y86" i="99" s="1"/>
  <c r="X85" i="99"/>
  <c r="Y85" i="99" s="1"/>
  <c r="J16" i="99"/>
  <c r="B92" i="99"/>
  <c r="I92" i="99" s="1"/>
  <c r="X90" i="99"/>
  <c r="Y93" i="99" s="1"/>
  <c r="S93" i="99"/>
  <c r="Y28" i="99"/>
  <c r="Y33" i="99" s="1"/>
  <c r="T64" i="98"/>
  <c r="X65" i="98" s="1"/>
  <c r="X70" i="98" s="1"/>
  <c r="Y70" i="98" s="1"/>
  <c r="T52" i="98"/>
  <c r="X53" i="98" s="1"/>
  <c r="T61" i="98"/>
  <c r="X62" i="98" s="1"/>
  <c r="X67" i="98" s="1"/>
  <c r="Y67" i="98" s="1"/>
  <c r="T58" i="98"/>
  <c r="X59" i="98" s="1"/>
  <c r="X71" i="98" s="1"/>
  <c r="Y71" i="98" s="1"/>
  <c r="B91" i="98"/>
  <c r="I91" i="98" s="1"/>
  <c r="E28" i="98"/>
  <c r="O47" i="54" s="1" a="1"/>
  <c r="O47" i="54" s="1"/>
  <c r="I12" i="98"/>
  <c r="X90" i="98"/>
  <c r="Y93" i="98" s="1"/>
  <c r="S93" i="98"/>
  <c r="J16" i="98"/>
  <c r="B92" i="98"/>
  <c r="I92" i="98" s="1"/>
  <c r="X86" i="98"/>
  <c r="Y86" i="98" s="1"/>
  <c r="X85" i="98"/>
  <c r="Y85" i="98" s="1"/>
  <c r="Y28" i="98"/>
  <c r="Y33" i="98" s="1"/>
  <c r="J41" i="98"/>
  <c r="J50" i="98" s="1"/>
  <c r="E50" i="98"/>
  <c r="T64" i="97"/>
  <c r="X65" i="97" s="1"/>
  <c r="X70" i="97" s="1"/>
  <c r="Y70" i="97" s="1"/>
  <c r="T52" i="97"/>
  <c r="X53" i="97" s="1"/>
  <c r="T61" i="97"/>
  <c r="X62" i="97" s="1"/>
  <c r="X67" i="97" s="1"/>
  <c r="Y67" i="97" s="1"/>
  <c r="T58" i="97"/>
  <c r="X59" i="97" s="1"/>
  <c r="X71" i="97" s="1"/>
  <c r="Y71" i="97" s="1"/>
  <c r="X86" i="97"/>
  <c r="Y86" i="97" s="1"/>
  <c r="X85" i="97"/>
  <c r="Y85" i="97" s="1"/>
  <c r="B91" i="97"/>
  <c r="I91" i="97" s="1"/>
  <c r="J41" i="97"/>
  <c r="J50" i="97" s="1"/>
  <c r="E50" i="97"/>
  <c r="I12" i="97"/>
  <c r="E28" i="97"/>
  <c r="X90" i="97"/>
  <c r="Y93" i="97" s="1"/>
  <c r="S93" i="97"/>
  <c r="J16" i="97"/>
  <c r="B92" i="97"/>
  <c r="I92" i="97" s="1"/>
  <c r="Y28" i="97"/>
  <c r="Y33" i="97" s="1"/>
  <c r="B91" i="96"/>
  <c r="I91" i="96" s="1"/>
  <c r="T64" i="96"/>
  <c r="X65" i="96" s="1"/>
  <c r="X70" i="96" s="1"/>
  <c r="Y70" i="96" s="1"/>
  <c r="T61" i="96"/>
  <c r="X62" i="96" s="1"/>
  <c r="X67" i="96" s="1"/>
  <c r="Y67" i="96" s="1"/>
  <c r="T58" i="96"/>
  <c r="X59" i="96" s="1"/>
  <c r="X71" i="96" s="1"/>
  <c r="Y71" i="96" s="1"/>
  <c r="S90" i="96"/>
  <c r="X86" i="96"/>
  <c r="Y86" i="96" s="1"/>
  <c r="X85" i="96"/>
  <c r="Y85" i="96" s="1"/>
  <c r="X90" i="96"/>
  <c r="Y93" i="96" s="1"/>
  <c r="S93" i="96"/>
  <c r="X87" i="96"/>
  <c r="Y87" i="96" s="1"/>
  <c r="X69" i="96"/>
  <c r="Y69" i="96" s="1"/>
  <c r="J16" i="96"/>
  <c r="B92" i="96"/>
  <c r="I92" i="96" s="1"/>
  <c r="I12" i="96"/>
  <c r="E28" i="96"/>
  <c r="O45" i="54" s="1" a="1"/>
  <c r="O45" i="54" s="1"/>
  <c r="Y28" i="96"/>
  <c r="Y33" i="96" s="1"/>
  <c r="Y102" i="96"/>
  <c r="Y105" i="96" s="1"/>
  <c r="J41" i="96"/>
  <c r="J50" i="96" s="1"/>
  <c r="E50" i="96"/>
  <c r="S90" i="95"/>
  <c r="Y70" i="95"/>
  <c r="X87" i="95"/>
  <c r="X69" i="95"/>
  <c r="Y69" i="95" s="1"/>
  <c r="X104" i="95"/>
  <c r="Y104" i="95" s="1"/>
  <c r="Y102" i="95"/>
  <c r="Y105" i="95" s="1"/>
  <c r="X90" i="95"/>
  <c r="Y93" i="95" s="1"/>
  <c r="S93" i="95"/>
  <c r="Y87" i="95"/>
  <c r="J41" i="95"/>
  <c r="J50" i="95" s="1"/>
  <c r="E50" i="95"/>
  <c r="Y28" i="95"/>
  <c r="Y33" i="95" s="1"/>
  <c r="Y71" i="95"/>
  <c r="B91" i="95"/>
  <c r="I91" i="95" s="1"/>
  <c r="J16" i="95"/>
  <c r="B92" i="95"/>
  <c r="I92" i="95" s="1"/>
  <c r="X28" i="95"/>
  <c r="V33" i="95" s="1"/>
  <c r="T55" i="95" s="1"/>
  <c r="X56" i="95" s="1"/>
  <c r="I12" i="95"/>
  <c r="E28" i="95"/>
  <c r="O44" i="54" s="1" a="1"/>
  <c r="O44" i="54" s="1"/>
  <c r="Y105" i="94"/>
  <c r="J16" i="94"/>
  <c r="B92" i="94"/>
  <c r="I92" i="94" s="1"/>
  <c r="Y28" i="94"/>
  <c r="B91" i="94"/>
  <c r="I91" i="94" s="1"/>
  <c r="E50" i="94"/>
  <c r="J41" i="94"/>
  <c r="J50" i="94" s="1"/>
  <c r="Y33" i="94"/>
  <c r="E28" i="94"/>
  <c r="O43" i="54" s="1" a="1"/>
  <c r="O43" i="54" s="1"/>
  <c r="I12" i="94"/>
  <c r="X87" i="94"/>
  <c r="Y87" i="94" s="1"/>
  <c r="X69" i="94"/>
  <c r="Y69" i="94" s="1"/>
  <c r="X28" i="94"/>
  <c r="V33" i="94" s="1"/>
  <c r="T55" i="94" s="1"/>
  <c r="X56" i="94" s="1"/>
  <c r="S90" i="94"/>
  <c r="X86" i="93"/>
  <c r="Y86" i="93" s="1"/>
  <c r="X85" i="93"/>
  <c r="Y85" i="93"/>
  <c r="J16" i="93"/>
  <c r="B92" i="93"/>
  <c r="I92" i="93" s="1"/>
  <c r="X90" i="93"/>
  <c r="Y93" i="93" s="1"/>
  <c r="S93" i="93"/>
  <c r="Y70" i="93"/>
  <c r="E28" i="93"/>
  <c r="O42" i="54" s="1" a="1"/>
  <c r="O42" i="54" s="1"/>
  <c r="I12" i="93"/>
  <c r="E50" i="93"/>
  <c r="J41" i="93"/>
  <c r="J50" i="93" s="1"/>
  <c r="Y28" i="93"/>
  <c r="Y33" i="93" s="1"/>
  <c r="B91" i="93"/>
  <c r="I91" i="93" s="1"/>
  <c r="T58" i="93"/>
  <c r="X59" i="93" s="1"/>
  <c r="X71" i="93" s="1"/>
  <c r="Y71" i="93" s="1"/>
  <c r="T61" i="93"/>
  <c r="X62" i="93" s="1"/>
  <c r="X67" i="93" s="1"/>
  <c r="Y67" i="93" s="1"/>
  <c r="T64" i="93"/>
  <c r="X65" i="93" s="1"/>
  <c r="X70" i="93" s="1"/>
  <c r="T52" i="93"/>
  <c r="X53" i="93" s="1"/>
  <c r="T64" i="92"/>
  <c r="X65" i="92" s="1"/>
  <c r="X70" i="92" s="1"/>
  <c r="Y70" i="92" s="1"/>
  <c r="T58" i="92"/>
  <c r="X59" i="92" s="1"/>
  <c r="X71" i="92" s="1"/>
  <c r="Y71" i="92"/>
  <c r="T52" i="92"/>
  <c r="X53" i="92" s="1"/>
  <c r="X87" i="92" s="1"/>
  <c r="Y87" i="92" s="1"/>
  <c r="X86" i="92"/>
  <c r="Y86" i="92" s="1"/>
  <c r="X85" i="92"/>
  <c r="Y85" i="92" s="1"/>
  <c r="S90" i="92"/>
  <c r="X104" i="92"/>
  <c r="Y104" i="92" s="1"/>
  <c r="Y102" i="92"/>
  <c r="Y105" i="92" s="1"/>
  <c r="J16" i="92"/>
  <c r="B92" i="92"/>
  <c r="I92" i="92" s="1"/>
  <c r="B91" i="92"/>
  <c r="I91" i="92" s="1"/>
  <c r="J41" i="92"/>
  <c r="J50" i="92" s="1"/>
  <c r="E50" i="92"/>
  <c r="I12" i="92"/>
  <c r="E28" i="92"/>
  <c r="O41" i="54" s="1" a="1"/>
  <c r="O41" i="54" s="1"/>
  <c r="Y33" i="92"/>
  <c r="T52" i="91"/>
  <c r="X53" i="91" s="1"/>
  <c r="X69" i="91" s="1"/>
  <c r="Y69" i="91" s="1"/>
  <c r="T64" i="91"/>
  <c r="X65" i="91" s="1"/>
  <c r="X70" i="91" s="1"/>
  <c r="Y70" i="91" s="1"/>
  <c r="T61" i="91"/>
  <c r="X62" i="91" s="1"/>
  <c r="X67" i="91" s="1"/>
  <c r="Y67" i="91" s="1"/>
  <c r="Y71" i="91"/>
  <c r="J16" i="91"/>
  <c r="B92" i="91"/>
  <c r="I92" i="91" s="1"/>
  <c r="B91" i="91"/>
  <c r="I91" i="91" s="1"/>
  <c r="X104" i="91"/>
  <c r="Y104" i="91" s="1"/>
  <c r="Y102" i="91"/>
  <c r="Y105" i="91" s="1"/>
  <c r="J41" i="91"/>
  <c r="J50" i="91" s="1"/>
  <c r="E50" i="91"/>
  <c r="S90" i="91"/>
  <c r="X28" i="91"/>
  <c r="V33" i="91" s="1"/>
  <c r="T55" i="91" s="1"/>
  <c r="X56" i="91" s="1"/>
  <c r="Y28" i="91"/>
  <c r="I12" i="91"/>
  <c r="E28" i="91"/>
  <c r="O40" i="54" s="1" a="1"/>
  <c r="O40" i="54" s="1"/>
  <c r="Y33" i="91"/>
  <c r="B91" i="90"/>
  <c r="I91" i="90" s="1"/>
  <c r="X90" i="90"/>
  <c r="Y93" i="90" s="1"/>
  <c r="S93" i="90"/>
  <c r="Y28" i="90"/>
  <c r="Y33" i="90" s="1"/>
  <c r="T64" i="90"/>
  <c r="X65" i="90" s="1"/>
  <c r="X70" i="90" s="1"/>
  <c r="Y70" i="90" s="1"/>
  <c r="T52" i="90"/>
  <c r="X53" i="90" s="1"/>
  <c r="T58" i="90"/>
  <c r="X59" i="90" s="1"/>
  <c r="X71" i="90" s="1"/>
  <c r="Y71" i="90" s="1"/>
  <c r="T61" i="90"/>
  <c r="X62" i="90" s="1"/>
  <c r="X67" i="90" s="1"/>
  <c r="Y67" i="90" s="1"/>
  <c r="X86" i="90"/>
  <c r="Y86" i="90" s="1"/>
  <c r="X85" i="90"/>
  <c r="Y85" i="90" s="1"/>
  <c r="J41" i="90"/>
  <c r="J50" i="90" s="1"/>
  <c r="E50" i="90"/>
  <c r="I12" i="90"/>
  <c r="E28" i="90"/>
  <c r="O39" i="54" s="1" a="1"/>
  <c r="O39" i="54" s="1"/>
  <c r="J16" i="90"/>
  <c r="B92" i="90"/>
  <c r="I92" i="90" s="1"/>
  <c r="B91" i="89"/>
  <c r="I91" i="89" s="1"/>
  <c r="J41" i="89"/>
  <c r="J50" i="89" s="1"/>
  <c r="E50" i="89"/>
  <c r="I12" i="89"/>
  <c r="E28" i="89"/>
  <c r="O38" i="54" s="1" a="1"/>
  <c r="O38" i="54" s="1"/>
  <c r="J16" i="89"/>
  <c r="B92" i="89"/>
  <c r="I92" i="89" s="1"/>
  <c r="Y33" i="89"/>
  <c r="S90" i="89"/>
  <c r="Y71" i="89"/>
  <c r="X28" i="89"/>
  <c r="V33" i="89" s="1"/>
  <c r="T55" i="89" s="1"/>
  <c r="X56" i="89" s="1"/>
  <c r="X87" i="89"/>
  <c r="Y87" i="89" s="1"/>
  <c r="X69" i="89"/>
  <c r="Y69" i="89" s="1"/>
  <c r="X28" i="88"/>
  <c r="V33" i="88" s="1"/>
  <c r="T55" i="88" s="1"/>
  <c r="X56" i="88" s="1"/>
  <c r="Y28" i="88"/>
  <c r="X86" i="88"/>
  <c r="Y86" i="88" s="1"/>
  <c r="X85" i="88"/>
  <c r="Y85" i="88" s="1"/>
  <c r="X90" i="88"/>
  <c r="Y93" i="88" s="1"/>
  <c r="S93" i="88"/>
  <c r="B91" i="88"/>
  <c r="I91" i="88" s="1"/>
  <c r="Y33" i="88"/>
  <c r="J16" i="88"/>
  <c r="B92" i="88"/>
  <c r="I92" i="88" s="1"/>
  <c r="X87" i="88"/>
  <c r="Y87" i="88" s="1"/>
  <c r="X69" i="88"/>
  <c r="Y69" i="88" s="1"/>
  <c r="I12" i="88"/>
  <c r="E28" i="88"/>
  <c r="Y105" i="88"/>
  <c r="J41" i="88"/>
  <c r="J50" i="88" s="1"/>
  <c r="E50" i="88"/>
  <c r="B91" i="87"/>
  <c r="I91" i="87" s="1"/>
  <c r="Y70" i="87"/>
  <c r="S91" i="87"/>
  <c r="X91" i="87" s="1"/>
  <c r="Y14" i="87"/>
  <c r="Y28" i="87" s="1"/>
  <c r="Y33" i="87" s="1"/>
  <c r="J16" i="87"/>
  <c r="B92" i="87"/>
  <c r="I92" i="87" s="1"/>
  <c r="J41" i="87"/>
  <c r="J50" i="87" s="1"/>
  <c r="E50" i="87"/>
  <c r="X90" i="87"/>
  <c r="X87" i="87"/>
  <c r="Y87" i="87" s="1"/>
  <c r="X69" i="87"/>
  <c r="Y69" i="87" s="1"/>
  <c r="E28" i="87"/>
  <c r="O36" i="54" s="1" a="1"/>
  <c r="O36" i="54" s="1"/>
  <c r="I12" i="87"/>
  <c r="X28" i="87"/>
  <c r="V33" i="87" s="1"/>
  <c r="T55" i="87" s="1"/>
  <c r="X56" i="87" s="1"/>
  <c r="T58" i="86"/>
  <c r="X59" i="86" s="1"/>
  <c r="X71" i="86" s="1"/>
  <c r="Y71" i="86" s="1"/>
  <c r="B91" i="86"/>
  <c r="I91" i="86" s="1"/>
  <c r="X87" i="86"/>
  <c r="Y87" i="86" s="1"/>
  <c r="X69" i="86"/>
  <c r="X104" i="86"/>
  <c r="Y104" i="86" s="1"/>
  <c r="Y102" i="86"/>
  <c r="Y105" i="86" s="1"/>
  <c r="Y69" i="86"/>
  <c r="X28" i="86"/>
  <c r="V33" i="86" s="1"/>
  <c r="T55" i="86" s="1"/>
  <c r="X56" i="86" s="1"/>
  <c r="J41" i="86"/>
  <c r="J50" i="86" s="1"/>
  <c r="E50" i="86"/>
  <c r="S90" i="86"/>
  <c r="E28" i="86"/>
  <c r="O35" i="54" s="1" a="1"/>
  <c r="O35" i="54" s="1"/>
  <c r="I12" i="86"/>
  <c r="J16" i="86"/>
  <c r="B92" i="86"/>
  <c r="I92" i="86" s="1"/>
  <c r="Y28" i="86"/>
  <c r="Y33" i="86" s="1"/>
  <c r="T64" i="85"/>
  <c r="X65" i="85" s="1"/>
  <c r="X70" i="85" s="1"/>
  <c r="Y70" i="85" s="1"/>
  <c r="E50" i="85"/>
  <c r="J41" i="85"/>
  <c r="J50" i="85" s="1"/>
  <c r="X87" i="85"/>
  <c r="Y87" i="85" s="1"/>
  <c r="X69" i="85"/>
  <c r="Y69" i="85" s="1"/>
  <c r="X28" i="85"/>
  <c r="V33" i="85" s="1"/>
  <c r="T55" i="85" s="1"/>
  <c r="X56" i="85" s="1"/>
  <c r="B91" i="85"/>
  <c r="I91" i="85" s="1"/>
  <c r="E28" i="85"/>
  <c r="O34" i="54" s="1" a="1"/>
  <c r="O34" i="54" s="1"/>
  <c r="I12" i="85"/>
  <c r="S90" i="85"/>
  <c r="J16" i="85"/>
  <c r="B92" i="85"/>
  <c r="I92" i="85" s="1"/>
  <c r="Y28" i="85"/>
  <c r="Y33" i="85" s="1"/>
  <c r="T61" i="84"/>
  <c r="X62" i="84" s="1"/>
  <c r="X67" i="84" s="1"/>
  <c r="Y67" i="84" s="1"/>
  <c r="B91" i="84"/>
  <c r="I91" i="84" s="1"/>
  <c r="Y28" i="84"/>
  <c r="Y33" i="84" s="1"/>
  <c r="T52" i="84"/>
  <c r="X53" i="84" s="1"/>
  <c r="X87" i="84" s="1"/>
  <c r="Y87" i="84" s="1"/>
  <c r="T58" i="84"/>
  <c r="X59" i="84" s="1"/>
  <c r="X71" i="84" s="1"/>
  <c r="Y71" i="84" s="1"/>
  <c r="X86" i="84"/>
  <c r="Y86" i="84" s="1"/>
  <c r="X85" i="84"/>
  <c r="Y85" i="84" s="1"/>
  <c r="J41" i="84"/>
  <c r="J50" i="84" s="1"/>
  <c r="E50" i="84"/>
  <c r="E28" i="84"/>
  <c r="I12" i="84"/>
  <c r="X90" i="84"/>
  <c r="S93" i="84"/>
  <c r="J16" i="84"/>
  <c r="B92" i="84"/>
  <c r="I92" i="84" s="1"/>
  <c r="Y93" i="84"/>
  <c r="B91" i="83"/>
  <c r="I91" i="83" s="1"/>
  <c r="S90" i="83"/>
  <c r="X28" i="83"/>
  <c r="V33" i="83" s="1"/>
  <c r="T55" i="83" s="1"/>
  <c r="X56" i="83" s="1"/>
  <c r="X86" i="83" s="1"/>
  <c r="Y86" i="83" s="1"/>
  <c r="J16" i="83"/>
  <c r="J28" i="83" s="1"/>
  <c r="J33" i="83" s="1"/>
  <c r="B92" i="83"/>
  <c r="I92" i="83" s="1"/>
  <c r="S93" i="83"/>
  <c r="X90" i="83"/>
  <c r="Y93" i="83" s="1"/>
  <c r="Y105" i="83"/>
  <c r="I28" i="83"/>
  <c r="G33" i="83" s="1"/>
  <c r="E56" i="83" s="1"/>
  <c r="I57" i="83" s="1"/>
  <c r="E28" i="83"/>
  <c r="O32" i="54" s="1" a="1"/>
  <c r="O32" i="54" s="1"/>
  <c r="B90" i="83"/>
  <c r="Y28" i="83"/>
  <c r="Y33" i="83" s="1"/>
  <c r="T58" i="83"/>
  <c r="X59" i="83" s="1"/>
  <c r="X71" i="83" s="1"/>
  <c r="Y71" i="83" s="1"/>
  <c r="T64" i="83"/>
  <c r="X65" i="83" s="1"/>
  <c r="X70" i="83" s="1"/>
  <c r="Y70" i="83" s="1"/>
  <c r="T52" i="83"/>
  <c r="X53" i="83" s="1"/>
  <c r="T61" i="83"/>
  <c r="X62" i="83" s="1"/>
  <c r="X67" i="83" s="1"/>
  <c r="Y67" i="83" s="1"/>
  <c r="J41" i="83"/>
  <c r="J50" i="83" s="1"/>
  <c r="E50" i="83"/>
  <c r="Y71" i="82"/>
  <c r="B91" i="82"/>
  <c r="I91" i="82" s="1"/>
  <c r="J16" i="82"/>
  <c r="B92" i="82"/>
  <c r="I92" i="82" s="1"/>
  <c r="X69" i="82"/>
  <c r="Y69" i="82" s="1"/>
  <c r="X87" i="82"/>
  <c r="Y87" i="82" s="1"/>
  <c r="Y28" i="82"/>
  <c r="Y33" i="82" s="1"/>
  <c r="S90" i="82"/>
  <c r="J41" i="82"/>
  <c r="J50" i="82" s="1"/>
  <c r="E50" i="82"/>
  <c r="X28" i="82"/>
  <c r="V33" i="82" s="1"/>
  <c r="T55" i="82" s="1"/>
  <c r="X56" i="82" s="1"/>
  <c r="I12" i="82"/>
  <c r="E28" i="82"/>
  <c r="O31" i="54" s="1" a="1"/>
  <c r="O31" i="54" s="1"/>
  <c r="I12" i="81"/>
  <c r="E28" i="81"/>
  <c r="O30" i="54" s="1" a="1"/>
  <c r="O30" i="54" s="1"/>
  <c r="X28" i="81"/>
  <c r="V33" i="81" s="1"/>
  <c r="T55" i="81" s="1"/>
  <c r="X56" i="81" s="1"/>
  <c r="X87" i="81"/>
  <c r="Y87" i="81" s="1"/>
  <c r="X69" i="81"/>
  <c r="Y69" i="81" s="1"/>
  <c r="J16" i="81"/>
  <c r="B92" i="81"/>
  <c r="I92" i="81" s="1"/>
  <c r="J41" i="81"/>
  <c r="J50" i="81" s="1"/>
  <c r="E50" i="81"/>
  <c r="B91" i="81"/>
  <c r="I91" i="81" s="1"/>
  <c r="S90" i="81"/>
  <c r="Y28" i="81"/>
  <c r="Y33" i="81" s="1"/>
  <c r="Y71" i="81"/>
  <c r="Y71" i="80"/>
  <c r="X86" i="80"/>
  <c r="Y86" i="80" s="1"/>
  <c r="X85" i="80"/>
  <c r="Y85" i="80" s="1"/>
  <c r="I12" i="80"/>
  <c r="E28" i="80"/>
  <c r="O29" i="54" s="1" a="1"/>
  <c r="O29" i="54" s="1"/>
  <c r="Y102" i="80"/>
  <c r="Y105" i="80" s="1"/>
  <c r="Y28" i="80"/>
  <c r="Y33" i="80" s="1"/>
  <c r="X87" i="80"/>
  <c r="Y87" i="80" s="1"/>
  <c r="X69" i="80"/>
  <c r="Y69" i="80" s="1"/>
  <c r="J41" i="80"/>
  <c r="J50" i="80" s="1"/>
  <c r="E50" i="80"/>
  <c r="X90" i="80"/>
  <c r="Y93" i="80" s="1"/>
  <c r="S93" i="80"/>
  <c r="J16" i="80"/>
  <c r="B92" i="80"/>
  <c r="I92" i="80" s="1"/>
  <c r="T52" i="79"/>
  <c r="X53" i="79" s="1"/>
  <c r="T58" i="79"/>
  <c r="X59" i="79" s="1"/>
  <c r="X71" i="79" s="1"/>
  <c r="Y71" i="79" s="1"/>
  <c r="T64" i="79"/>
  <c r="X65" i="79" s="1"/>
  <c r="X70" i="79" s="1"/>
  <c r="Y70" i="79" s="1"/>
  <c r="X87" i="79"/>
  <c r="Y87" i="79" s="1"/>
  <c r="X69" i="79"/>
  <c r="Y69" i="79" s="1"/>
  <c r="J16" i="79"/>
  <c r="B92" i="79"/>
  <c r="I92" i="79" s="1"/>
  <c r="Y28" i="79"/>
  <c r="Y33" i="79" s="1"/>
  <c r="X28" i="79"/>
  <c r="V33" i="79" s="1"/>
  <c r="T55" i="79" s="1"/>
  <c r="X56" i="79" s="1"/>
  <c r="B91" i="79"/>
  <c r="I91" i="79" s="1"/>
  <c r="S90" i="79"/>
  <c r="J41" i="79"/>
  <c r="J50" i="79" s="1"/>
  <c r="E50" i="79"/>
  <c r="I12" i="79"/>
  <c r="E28" i="79"/>
  <c r="O28" i="54" s="1" a="1"/>
  <c r="O28" i="54" s="1"/>
  <c r="X86" i="78"/>
  <c r="Y86" i="78" s="1"/>
  <c r="X85" i="78"/>
  <c r="Y85" i="78" s="1"/>
  <c r="Y105" i="78"/>
  <c r="T52" i="78"/>
  <c r="X53" i="78" s="1"/>
  <c r="T58" i="78"/>
  <c r="X59" i="78" s="1"/>
  <c r="X71" i="78" s="1"/>
  <c r="Y71" i="78" s="1"/>
  <c r="T64" i="78"/>
  <c r="X65" i="78" s="1"/>
  <c r="X70" i="78" s="1"/>
  <c r="Y70" i="78" s="1"/>
  <c r="T61" i="78"/>
  <c r="X62" i="78" s="1"/>
  <c r="X67" i="78" s="1"/>
  <c r="Y67" i="78" s="1"/>
  <c r="I12" i="78"/>
  <c r="E28" i="78"/>
  <c r="O27" i="54" s="1" a="1"/>
  <c r="O27" i="54" s="1"/>
  <c r="X90" i="78"/>
  <c r="S93" i="78"/>
  <c r="Y28" i="78"/>
  <c r="Y33" i="78" s="1"/>
  <c r="B91" i="78"/>
  <c r="I91" i="78" s="1"/>
  <c r="Y93" i="78"/>
  <c r="J16" i="78"/>
  <c r="B92" i="78"/>
  <c r="I92" i="78" s="1"/>
  <c r="J41" i="78"/>
  <c r="J50" i="78" s="1"/>
  <c r="E50" i="78"/>
  <c r="J41" i="77"/>
  <c r="J50" i="77" s="1"/>
  <c r="E50" i="77"/>
  <c r="T15" i="77"/>
  <c r="X15" i="77" s="1"/>
  <c r="I15" i="77"/>
  <c r="J15" i="77" s="1"/>
  <c r="I22" i="77"/>
  <c r="J22" i="77" s="1"/>
  <c r="T22" i="77"/>
  <c r="X22" i="77" s="1"/>
  <c r="Y22" i="77" s="1"/>
  <c r="J14" i="77"/>
  <c r="I12" i="77"/>
  <c r="T12" i="77"/>
  <c r="E28" i="77"/>
  <c r="O26" i="54" s="1" a="1"/>
  <c r="O26" i="54" s="1"/>
  <c r="Y102" i="77"/>
  <c r="Y105" i="77" s="1"/>
  <c r="T25" i="77"/>
  <c r="X25" i="77" s="1"/>
  <c r="Y25" i="77" s="1"/>
  <c r="I25" i="77"/>
  <c r="J25" i="77" s="1"/>
  <c r="I27" i="77"/>
  <c r="J27" i="77" s="1"/>
  <c r="T27" i="77"/>
  <c r="X27" i="77" s="1"/>
  <c r="Y27" i="77" s="1"/>
  <c r="I13" i="77"/>
  <c r="J13" i="77" s="1"/>
  <c r="T13" i="77"/>
  <c r="X13" i="77" s="1"/>
  <c r="Y13" i="77" s="1"/>
  <c r="I26" i="77"/>
  <c r="J26" i="77" s="1"/>
  <c r="T26" i="77"/>
  <c r="X26" i="77" s="1"/>
  <c r="Y26" i="77" s="1"/>
  <c r="I17" i="77"/>
  <c r="J17" i="77" s="1"/>
  <c r="T17" i="77"/>
  <c r="X17" i="77" s="1"/>
  <c r="Y17" i="77" s="1"/>
  <c r="I16" i="77"/>
  <c r="T16" i="77"/>
  <c r="X16" i="77" s="1"/>
  <c r="I18" i="77"/>
  <c r="J18" i="77" s="1"/>
  <c r="T18" i="77"/>
  <c r="X18" i="77" s="1"/>
  <c r="Y18" i="77" s="1"/>
  <c r="T19" i="77"/>
  <c r="X19" i="77" s="1"/>
  <c r="Y19" i="77" s="1"/>
  <c r="I19" i="77"/>
  <c r="J19" i="77" s="1"/>
  <c r="T21" i="77"/>
  <c r="X21" i="77" s="1"/>
  <c r="Y21" i="77" s="1"/>
  <c r="I21" i="77"/>
  <c r="J21" i="77" s="1"/>
  <c r="X104" i="76"/>
  <c r="Y104" i="76" s="1"/>
  <c r="Y102" i="76"/>
  <c r="I12" i="76"/>
  <c r="E28" i="76"/>
  <c r="O25" i="54" s="1" a="1"/>
  <c r="O25" i="54" s="1"/>
  <c r="J41" i="76"/>
  <c r="J50" i="76" s="1"/>
  <c r="E50" i="76"/>
  <c r="T61" i="75"/>
  <c r="X62" i="75" s="1"/>
  <c r="X67" i="75" s="1"/>
  <c r="Y67" i="75" s="1"/>
  <c r="T64" i="75"/>
  <c r="X65" i="75" s="1"/>
  <c r="X70" i="75" s="1"/>
  <c r="Y70" i="75" s="1"/>
  <c r="T58" i="75"/>
  <c r="X59" i="75" s="1"/>
  <c r="X71" i="75" s="1"/>
  <c r="Y71" i="75" s="1"/>
  <c r="S90" i="75"/>
  <c r="X90" i="75" s="1"/>
  <c r="Y93" i="75" s="1"/>
  <c r="X28" i="75"/>
  <c r="V33" i="75" s="1"/>
  <c r="T55" i="75" s="1"/>
  <c r="X56" i="75" s="1"/>
  <c r="X86" i="75" s="1"/>
  <c r="Y86" i="75" s="1"/>
  <c r="Y28" i="75"/>
  <c r="I12" i="75"/>
  <c r="E28" i="75"/>
  <c r="O24" i="54" s="1" a="1"/>
  <c r="O24" i="54" s="1"/>
  <c r="X104" i="75"/>
  <c r="Y104" i="75" s="1"/>
  <c r="Y102" i="75"/>
  <c r="Y105" i="75" s="1"/>
  <c r="Y83" i="75"/>
  <c r="X87" i="75"/>
  <c r="Y87" i="75" s="1"/>
  <c r="X69" i="75"/>
  <c r="Y69" i="75" s="1"/>
  <c r="B91" i="75"/>
  <c r="I91" i="75" s="1"/>
  <c r="Y33" i="75"/>
  <c r="J16" i="75"/>
  <c r="B92" i="75"/>
  <c r="I92" i="75" s="1"/>
  <c r="J41" i="75"/>
  <c r="J50" i="75" s="1"/>
  <c r="E50" i="75"/>
  <c r="Y70" i="74"/>
  <c r="J16" i="74"/>
  <c r="B92" i="74"/>
  <c r="I92" i="74" s="1"/>
  <c r="B91" i="74"/>
  <c r="I91" i="74" s="1"/>
  <c r="S90" i="74"/>
  <c r="X28" i="74"/>
  <c r="V33" i="74" s="1"/>
  <c r="T55" i="74" s="1"/>
  <c r="X56" i="74" s="1"/>
  <c r="J41" i="74"/>
  <c r="J50" i="74" s="1"/>
  <c r="E50" i="74"/>
  <c r="I12" i="74"/>
  <c r="E28" i="74"/>
  <c r="O23" i="54" s="1" a="1"/>
  <c r="O23" i="54" s="1"/>
  <c r="Y102" i="74"/>
  <c r="Y105" i="74" s="1"/>
  <c r="X69" i="74"/>
  <c r="Y69" i="74" s="1"/>
  <c r="X87" i="74"/>
  <c r="Y87" i="74" s="1"/>
  <c r="Y28" i="74"/>
  <c r="Y33" i="74"/>
  <c r="Y28" i="73"/>
  <c r="Y33" i="73" s="1"/>
  <c r="S91" i="73"/>
  <c r="X91" i="73" s="1"/>
  <c r="X28" i="73"/>
  <c r="V33" i="73" s="1"/>
  <c r="T55" i="73" s="1"/>
  <c r="X56" i="73" s="1"/>
  <c r="Y70" i="73"/>
  <c r="J16" i="73"/>
  <c r="B92" i="73"/>
  <c r="I92" i="73" s="1"/>
  <c r="X86" i="73"/>
  <c r="Y86" i="73" s="1"/>
  <c r="X85" i="73"/>
  <c r="Y85" i="73" s="1"/>
  <c r="J41" i="73"/>
  <c r="J50" i="73" s="1"/>
  <c r="E50" i="73"/>
  <c r="X87" i="73"/>
  <c r="Y87" i="73" s="1"/>
  <c r="X69" i="73"/>
  <c r="B91" i="73"/>
  <c r="I91" i="73" s="1"/>
  <c r="I12" i="73"/>
  <c r="E28" i="73"/>
  <c r="O22" i="54" s="1" a="1"/>
  <c r="O22" i="54" s="1"/>
  <c r="X90" i="73"/>
  <c r="Y69" i="73"/>
  <c r="X104" i="73"/>
  <c r="Y104" i="73" s="1"/>
  <c r="Y102" i="73"/>
  <c r="Y105" i="73" s="1"/>
  <c r="J105" i="73"/>
  <c r="B91" i="72"/>
  <c r="I91" i="72" s="1"/>
  <c r="X69" i="72"/>
  <c r="Y69" i="72" s="1"/>
  <c r="X87" i="72"/>
  <c r="Y87" i="72" s="1"/>
  <c r="Y28" i="72"/>
  <c r="I12" i="72"/>
  <c r="E28" i="72"/>
  <c r="O21" i="54" s="1" a="1"/>
  <c r="O21" i="54" s="1"/>
  <c r="Y33" i="72"/>
  <c r="J41" i="72"/>
  <c r="J50" i="72" s="1"/>
  <c r="E50" i="72"/>
  <c r="X90" i="72"/>
  <c r="S93" i="72"/>
  <c r="J16" i="72"/>
  <c r="B92" i="72"/>
  <c r="I92" i="72" s="1"/>
  <c r="Y71" i="72"/>
  <c r="Y93" i="72"/>
  <c r="X86" i="72"/>
  <c r="Y86" i="72" s="1"/>
  <c r="X85" i="72"/>
  <c r="Y85" i="72" s="1"/>
  <c r="Y102" i="72"/>
  <c r="X104" i="72"/>
  <c r="Y104" i="72" s="1"/>
  <c r="Y28" i="71"/>
  <c r="Y33" i="71" s="1"/>
  <c r="X86" i="71"/>
  <c r="Y86" i="71" s="1"/>
  <c r="X85" i="71"/>
  <c r="Y85" i="71" s="1"/>
  <c r="S93" i="71"/>
  <c r="X90" i="71"/>
  <c r="Y93" i="71" s="1"/>
  <c r="J16" i="71"/>
  <c r="B92" i="71"/>
  <c r="I92" i="71" s="1"/>
  <c r="Y102" i="71"/>
  <c r="X104" i="71"/>
  <c r="Y104" i="71" s="1"/>
  <c r="B91" i="71"/>
  <c r="I91" i="71" s="1"/>
  <c r="E28" i="71"/>
  <c r="I12" i="71"/>
  <c r="T64" i="71"/>
  <c r="X65" i="71" s="1"/>
  <c r="X70" i="71" s="1"/>
  <c r="Y70" i="71" s="1"/>
  <c r="T52" i="71"/>
  <c r="X53" i="71" s="1"/>
  <c r="T58" i="71"/>
  <c r="X59" i="71" s="1"/>
  <c r="X71" i="71" s="1"/>
  <c r="Y71" i="71" s="1"/>
  <c r="T61" i="71"/>
  <c r="X62" i="71" s="1"/>
  <c r="X67" i="71" s="1"/>
  <c r="Y67" i="71" s="1"/>
  <c r="J41" i="71"/>
  <c r="J50" i="71" s="1"/>
  <c r="E50" i="71"/>
  <c r="Y71" i="70"/>
  <c r="J16" i="70"/>
  <c r="B92" i="70"/>
  <c r="I92" i="70" s="1"/>
  <c r="S90" i="70"/>
  <c r="X28" i="70"/>
  <c r="V33" i="70" s="1"/>
  <c r="T55" i="70" s="1"/>
  <c r="X56" i="70" s="1"/>
  <c r="J41" i="70"/>
  <c r="J50" i="70" s="1"/>
  <c r="E50" i="70"/>
  <c r="Y28" i="70"/>
  <c r="Y105" i="70"/>
  <c r="B91" i="70"/>
  <c r="I91" i="70" s="1"/>
  <c r="Y33" i="70"/>
  <c r="X87" i="70"/>
  <c r="Y87" i="70" s="1"/>
  <c r="X69" i="70"/>
  <c r="Y69" i="70" s="1"/>
  <c r="I12" i="70"/>
  <c r="E28" i="70"/>
  <c r="O19" i="54" s="1" a="1"/>
  <c r="O19" i="54" s="1"/>
  <c r="T12" i="69"/>
  <c r="E28" i="69"/>
  <c r="O18" i="54" s="1" a="1"/>
  <c r="O18" i="54" s="1"/>
  <c r="I12" i="69"/>
  <c r="T13" i="69"/>
  <c r="X13" i="69" s="1"/>
  <c r="Y13" i="69" s="1"/>
  <c r="I13" i="69"/>
  <c r="J13" i="69" s="1"/>
  <c r="T19" i="69"/>
  <c r="X19" i="69" s="1"/>
  <c r="Y19" i="69" s="1"/>
  <c r="I19" i="69"/>
  <c r="J19" i="69" s="1"/>
  <c r="T22" i="69"/>
  <c r="X22" i="69" s="1"/>
  <c r="Y22" i="69" s="1"/>
  <c r="I22" i="69"/>
  <c r="J22" i="69" s="1"/>
  <c r="J41" i="69"/>
  <c r="J50" i="69" s="1"/>
  <c r="E50" i="69"/>
  <c r="J14" i="69"/>
  <c r="I15" i="69"/>
  <c r="J15" i="69" s="1"/>
  <c r="T15" i="69"/>
  <c r="X15" i="69" s="1"/>
  <c r="I16" i="69"/>
  <c r="T16" i="69"/>
  <c r="X16" i="69" s="1"/>
  <c r="I25" i="69"/>
  <c r="J25" i="69" s="1"/>
  <c r="T25" i="69"/>
  <c r="X25" i="69" s="1"/>
  <c r="Y25" i="69" s="1"/>
  <c r="I26" i="69"/>
  <c r="J26" i="69" s="1"/>
  <c r="T26" i="69"/>
  <c r="X26" i="69" s="1"/>
  <c r="Y26" i="69" s="1"/>
  <c r="I26" i="68"/>
  <c r="J26" i="68" s="1"/>
  <c r="T26" i="68"/>
  <c r="X26" i="68" s="1"/>
  <c r="Y26" i="68" s="1"/>
  <c r="I13" i="68"/>
  <c r="J13" i="68" s="1"/>
  <c r="T13" i="68"/>
  <c r="X13" i="68" s="1"/>
  <c r="Y13" i="68" s="1"/>
  <c r="Y102" i="68"/>
  <c r="Y105" i="68" s="1"/>
  <c r="J41" i="68"/>
  <c r="J50" i="68" s="1"/>
  <c r="E50" i="68"/>
  <c r="T15" i="68"/>
  <c r="X15" i="68" s="1"/>
  <c r="Y15" i="68" s="1"/>
  <c r="I15" i="68"/>
  <c r="I16" i="68"/>
  <c r="T16" i="68"/>
  <c r="X16" i="68" s="1"/>
  <c r="I22" i="68"/>
  <c r="J22" i="68" s="1"/>
  <c r="T22" i="68"/>
  <c r="X22" i="68" s="1"/>
  <c r="Y22" i="68" s="1"/>
  <c r="I12" i="68"/>
  <c r="T12" i="68"/>
  <c r="E28" i="68"/>
  <c r="O17" i="54" s="1" a="1"/>
  <c r="O17" i="54" s="1"/>
  <c r="T25" i="68"/>
  <c r="X25" i="68" s="1"/>
  <c r="Y25" i="68" s="1"/>
  <c r="I25" i="68"/>
  <c r="J25" i="68" s="1"/>
  <c r="Y14" i="68"/>
  <c r="T19" i="67"/>
  <c r="X19" i="67" s="1"/>
  <c r="Y19" i="67" s="1"/>
  <c r="I19" i="67"/>
  <c r="J19" i="67" s="1"/>
  <c r="I25" i="67"/>
  <c r="J25" i="67" s="1"/>
  <c r="T25" i="67"/>
  <c r="X25" i="67" s="1"/>
  <c r="Y25" i="67" s="1"/>
  <c r="Y14" i="67"/>
  <c r="I26" i="67"/>
  <c r="J26" i="67" s="1"/>
  <c r="T26" i="67"/>
  <c r="X26" i="67" s="1"/>
  <c r="Y26" i="67" s="1"/>
  <c r="I16" i="67"/>
  <c r="T16" i="67"/>
  <c r="X16" i="67" s="1"/>
  <c r="T22" i="67"/>
  <c r="X22" i="67" s="1"/>
  <c r="Y22" i="67" s="1"/>
  <c r="I22" i="67"/>
  <c r="J22" i="67" s="1"/>
  <c r="T13" i="67"/>
  <c r="X13" i="67" s="1"/>
  <c r="Y13" i="67" s="1"/>
  <c r="I13" i="67"/>
  <c r="J13" i="67" s="1"/>
  <c r="J41" i="67"/>
  <c r="J50" i="67" s="1"/>
  <c r="E50" i="67"/>
  <c r="I15" i="67"/>
  <c r="T15" i="67"/>
  <c r="X15" i="67" s="1"/>
  <c r="Y15" i="67" s="1"/>
  <c r="T12" i="67"/>
  <c r="E28" i="67"/>
  <c r="O16" i="54" s="1" a="1"/>
  <c r="O16" i="54" s="1"/>
  <c r="I12" i="67"/>
  <c r="J16" i="66"/>
  <c r="B92" i="66"/>
  <c r="I92" i="66" s="1"/>
  <c r="Y102" i="66"/>
  <c r="Y105" i="66" s="1"/>
  <c r="E28" i="66"/>
  <c r="O15" i="54" s="1" a="1"/>
  <c r="O15" i="54" s="1"/>
  <c r="J41" i="66"/>
  <c r="J50" i="66" s="1"/>
  <c r="E50" i="66"/>
  <c r="B90" i="66"/>
  <c r="X86" i="65"/>
  <c r="Y86" i="65" s="1"/>
  <c r="X85" i="65"/>
  <c r="X90" i="65"/>
  <c r="S93" i="65"/>
  <c r="E28" i="65"/>
  <c r="O14" i="54" s="1" a="1"/>
  <c r="O14" i="54" s="1"/>
  <c r="I12" i="65"/>
  <c r="Y33" i="65"/>
  <c r="J16" i="65"/>
  <c r="B92" i="65"/>
  <c r="I92" i="65" s="1"/>
  <c r="Y93" i="65"/>
  <c r="Y85" i="65"/>
  <c r="X87" i="65"/>
  <c r="Y87" i="65" s="1"/>
  <c r="X69" i="65"/>
  <c r="Y69" i="65" s="1"/>
  <c r="J41" i="65"/>
  <c r="J50" i="65" s="1"/>
  <c r="E50" i="65"/>
  <c r="B91" i="65"/>
  <c r="I91" i="65" s="1"/>
  <c r="Y102" i="64"/>
  <c r="Y105" i="64" s="1"/>
  <c r="X104" i="64"/>
  <c r="Y104" i="64" s="1"/>
  <c r="I13" i="64"/>
  <c r="J13" i="64" s="1"/>
  <c r="T13" i="64"/>
  <c r="X13" i="64" s="1"/>
  <c r="Y13" i="64" s="1"/>
  <c r="I12" i="64"/>
  <c r="E28" i="64"/>
  <c r="O13" i="54" s="1" a="1"/>
  <c r="O13" i="54" s="1"/>
  <c r="T12" i="64"/>
  <c r="T19" i="64"/>
  <c r="X19" i="64" s="1"/>
  <c r="Y19" i="64" s="1"/>
  <c r="I19" i="64"/>
  <c r="J19" i="64" s="1"/>
  <c r="Y14" i="64"/>
  <c r="I26" i="64"/>
  <c r="J26" i="64" s="1"/>
  <c r="T26" i="64"/>
  <c r="X26" i="64" s="1"/>
  <c r="Y26" i="64" s="1"/>
  <c r="I16" i="64"/>
  <c r="T16" i="64"/>
  <c r="X16" i="64" s="1"/>
  <c r="I22" i="64"/>
  <c r="J22" i="64" s="1"/>
  <c r="T22" i="64"/>
  <c r="X22" i="64" s="1"/>
  <c r="Y22" i="64" s="1"/>
  <c r="J41" i="64"/>
  <c r="J50" i="64" s="1"/>
  <c r="E50" i="64"/>
  <c r="T25" i="64"/>
  <c r="X25" i="64" s="1"/>
  <c r="Y25" i="64" s="1"/>
  <c r="I25" i="64"/>
  <c r="J25" i="64" s="1"/>
  <c r="T15" i="64"/>
  <c r="X15" i="64" s="1"/>
  <c r="Y15" i="64" s="1"/>
  <c r="I15" i="64"/>
  <c r="T21" i="64"/>
  <c r="X21" i="64" s="1"/>
  <c r="Y21" i="64" s="1"/>
  <c r="I21" i="64"/>
  <c r="J21" i="64" s="1"/>
  <c r="T13" i="63"/>
  <c r="X13" i="63" s="1"/>
  <c r="Y13" i="63" s="1"/>
  <c r="I13" i="63"/>
  <c r="J13" i="63" s="1"/>
  <c r="T21" i="63"/>
  <c r="X21" i="63" s="1"/>
  <c r="Y21" i="63" s="1"/>
  <c r="I21" i="63"/>
  <c r="J21" i="63" s="1"/>
  <c r="E50" i="63"/>
  <c r="J41" i="63"/>
  <c r="J50" i="63" s="1"/>
  <c r="Y105" i="63"/>
  <c r="T18" i="63"/>
  <c r="X18" i="63" s="1"/>
  <c r="Y18" i="63" s="1"/>
  <c r="I18" i="63"/>
  <c r="J18" i="63" s="1"/>
  <c r="I16" i="63"/>
  <c r="T16" i="63"/>
  <c r="X16" i="63" s="1"/>
  <c r="I22" i="63"/>
  <c r="J22" i="63" s="1"/>
  <c r="T22" i="63"/>
  <c r="X22" i="63" s="1"/>
  <c r="Y22" i="63" s="1"/>
  <c r="T25" i="63"/>
  <c r="X25" i="63" s="1"/>
  <c r="Y25" i="63" s="1"/>
  <c r="I25" i="63"/>
  <c r="J25" i="63" s="1"/>
  <c r="T24" i="63"/>
  <c r="X24" i="63" s="1"/>
  <c r="Y24" i="63" s="1"/>
  <c r="I24" i="63"/>
  <c r="J24" i="63" s="1"/>
  <c r="T14" i="63"/>
  <c r="X14" i="63" s="1"/>
  <c r="I14" i="63"/>
  <c r="I26" i="63"/>
  <c r="J26" i="63" s="1"/>
  <c r="T26" i="63"/>
  <c r="X26" i="63" s="1"/>
  <c r="Y26" i="63" s="1"/>
  <c r="I12" i="63"/>
  <c r="T12" i="63"/>
  <c r="E28" i="63"/>
  <c r="O12" i="54" s="1" a="1"/>
  <c r="O12" i="54" s="1"/>
  <c r="T19" i="63"/>
  <c r="X19" i="63" s="1"/>
  <c r="Y19" i="63" s="1"/>
  <c r="I19" i="63"/>
  <c r="J19" i="63" s="1"/>
  <c r="T15" i="63"/>
  <c r="X15" i="63" s="1"/>
  <c r="Y15" i="63" s="1"/>
  <c r="I15" i="63"/>
  <c r="J15" i="63" s="1"/>
  <c r="I16" i="62"/>
  <c r="T16" i="62"/>
  <c r="X16" i="62" s="1"/>
  <c r="T22" i="62"/>
  <c r="X22" i="62" s="1"/>
  <c r="Y22" i="62" s="1"/>
  <c r="I22" i="62"/>
  <c r="J22" i="62" s="1"/>
  <c r="J41" i="62"/>
  <c r="J50" i="62" s="1"/>
  <c r="E50" i="62"/>
  <c r="T13" i="62"/>
  <c r="X13" i="62" s="1"/>
  <c r="Y13" i="62" s="1"/>
  <c r="I13" i="62"/>
  <c r="J13" i="62" s="1"/>
  <c r="T19" i="62"/>
  <c r="X19" i="62" s="1"/>
  <c r="Y19" i="62" s="1"/>
  <c r="I19" i="62"/>
  <c r="J19" i="62" s="1"/>
  <c r="T12" i="62"/>
  <c r="E28" i="62"/>
  <c r="O11" i="54" s="1" a="1"/>
  <c r="O11" i="54" s="1"/>
  <c r="I12" i="62"/>
  <c r="Y14" i="62"/>
  <c r="I15" i="62"/>
  <c r="T15" i="62"/>
  <c r="X15" i="62" s="1"/>
  <c r="Y15" i="62" s="1"/>
  <c r="I25" i="62"/>
  <c r="J25" i="62" s="1"/>
  <c r="T25" i="62"/>
  <c r="X25" i="62" s="1"/>
  <c r="Y25" i="62" s="1"/>
  <c r="I26" i="62"/>
  <c r="J26" i="62" s="1"/>
  <c r="T26" i="62"/>
  <c r="X26" i="62" s="1"/>
  <c r="Y26" i="62" s="1"/>
  <c r="Y14" i="61"/>
  <c r="J41" i="61"/>
  <c r="J50" i="61" s="1"/>
  <c r="E50" i="61"/>
  <c r="E28" i="61"/>
  <c r="I12" i="61"/>
  <c r="Y71" i="60"/>
  <c r="T64" i="60"/>
  <c r="X65" i="60" s="1"/>
  <c r="X70" i="60" s="1"/>
  <c r="Y70" i="60" s="1"/>
  <c r="T61" i="60"/>
  <c r="X62" i="60" s="1"/>
  <c r="X67" i="60" s="1"/>
  <c r="Y67" i="60" s="1"/>
  <c r="T52" i="60"/>
  <c r="X53" i="60" s="1"/>
  <c r="X69" i="60" s="1"/>
  <c r="Y69" i="60" s="1"/>
  <c r="B91" i="60"/>
  <c r="I91" i="60" s="1"/>
  <c r="J16" i="60"/>
  <c r="B92" i="60"/>
  <c r="I92" i="60" s="1"/>
  <c r="S90" i="60"/>
  <c r="X28" i="60"/>
  <c r="V33" i="60" s="1"/>
  <c r="T55" i="60" s="1"/>
  <c r="X56" i="60" s="1"/>
  <c r="J41" i="60"/>
  <c r="J50" i="60" s="1"/>
  <c r="E50" i="60"/>
  <c r="Y28" i="60"/>
  <c r="Y33" i="60" s="1"/>
  <c r="I12" i="60"/>
  <c r="E28" i="60"/>
  <c r="O9" i="54" s="1" a="1"/>
  <c r="O9" i="54" s="1"/>
  <c r="T22" i="59"/>
  <c r="X22" i="59" s="1"/>
  <c r="Y22" i="59" s="1"/>
  <c r="I27" i="59"/>
  <c r="J27" i="59" s="1"/>
  <c r="I18" i="59"/>
  <c r="J18" i="59" s="1"/>
  <c r="T18" i="59"/>
  <c r="X18" i="59" s="1"/>
  <c r="Y18" i="59" s="1"/>
  <c r="I19" i="59"/>
  <c r="J19" i="59" s="1"/>
  <c r="I25" i="59"/>
  <c r="J25" i="59" s="1"/>
  <c r="I15" i="59"/>
  <c r="J15" i="59" s="1"/>
  <c r="X12" i="59"/>
  <c r="Y14" i="59"/>
  <c r="J41" i="59"/>
  <c r="J50" i="59" s="1"/>
  <c r="E50" i="59"/>
  <c r="E28" i="59"/>
  <c r="O8" i="54" s="1" a="1"/>
  <c r="O8" i="54" s="1"/>
  <c r="I13" i="59"/>
  <c r="T13" i="59"/>
  <c r="X13" i="59" s="1"/>
  <c r="Y13" i="59" s="1"/>
  <c r="I26" i="59"/>
  <c r="J26" i="59" s="1"/>
  <c r="T26" i="59"/>
  <c r="X26" i="59" s="1"/>
  <c r="Y26" i="59" s="1"/>
  <c r="I16" i="59"/>
  <c r="T16" i="59"/>
  <c r="X16" i="59" s="1"/>
  <c r="D32" i="56"/>
  <c r="E136" i="56" s="1"/>
  <c r="I136" i="56" s="1"/>
  <c r="I138" i="56" s="1"/>
  <c r="J41" i="58"/>
  <c r="J50" i="58" s="1"/>
  <c r="E50" i="58"/>
  <c r="I12" i="58"/>
  <c r="E28" i="58"/>
  <c r="O7" i="54" s="1" a="1"/>
  <c r="O7" i="54" s="1"/>
  <c r="O37" i="54" l="1" a="1"/>
  <c r="O37" i="54" s="1"/>
  <c r="Y15" i="101"/>
  <c r="S91" i="101"/>
  <c r="X91" i="101" s="1"/>
  <c r="J16" i="101"/>
  <c r="T28" i="101"/>
  <c r="X13" i="101"/>
  <c r="Y16" i="101"/>
  <c r="S92" i="101"/>
  <c r="X92" i="101" s="1"/>
  <c r="X87" i="91"/>
  <c r="Y87" i="91" s="1"/>
  <c r="S93" i="87"/>
  <c r="Y105" i="85"/>
  <c r="Y14" i="76"/>
  <c r="S91" i="76"/>
  <c r="X91" i="76" s="1"/>
  <c r="S92" i="76"/>
  <c r="X92" i="76" s="1"/>
  <c r="Y16" i="76"/>
  <c r="T28" i="76"/>
  <c r="X13" i="76"/>
  <c r="B91" i="76"/>
  <c r="I91" i="76" s="1"/>
  <c r="B92" i="76"/>
  <c r="I92" i="76" s="1"/>
  <c r="X85" i="75"/>
  <c r="Y85" i="75" s="1"/>
  <c r="Y93" i="73"/>
  <c r="S93" i="73"/>
  <c r="S92" i="66"/>
  <c r="X92" i="66" s="1"/>
  <c r="Y16" i="66"/>
  <c r="Y28" i="66" s="1"/>
  <c r="Y33" i="66" s="1"/>
  <c r="T28" i="66"/>
  <c r="J15" i="66"/>
  <c r="J28" i="66" s="1"/>
  <c r="J33" i="66" s="1"/>
  <c r="B91" i="66"/>
  <c r="I91" i="66" s="1"/>
  <c r="S90" i="66"/>
  <c r="S93" i="66" s="1"/>
  <c r="I28" i="66"/>
  <c r="G33" i="66" s="1"/>
  <c r="X28" i="66"/>
  <c r="V33" i="66" s="1"/>
  <c r="T55" i="66" s="1"/>
  <c r="X56" i="66" s="1"/>
  <c r="S91" i="66"/>
  <c r="X91" i="66" s="1"/>
  <c r="Y105" i="65"/>
  <c r="X13" i="61"/>
  <c r="T28" i="61"/>
  <c r="S91" i="61"/>
  <c r="X91" i="61" s="1"/>
  <c r="B92" i="61"/>
  <c r="I92" i="61" s="1"/>
  <c r="B91" i="61"/>
  <c r="I91" i="61" s="1"/>
  <c r="O10" i="54" a="1"/>
  <c r="O10" i="54" s="1"/>
  <c r="Y16" i="61"/>
  <c r="S92" i="61"/>
  <c r="X92" i="61" s="1"/>
  <c r="Y105" i="60"/>
  <c r="B91" i="59"/>
  <c r="I91" i="59" s="1"/>
  <c r="B91" i="58"/>
  <c r="I91" i="58" s="1"/>
  <c r="X13" i="58"/>
  <c r="T28" i="58"/>
  <c r="S91" i="58"/>
  <c r="X91" i="58" s="1"/>
  <c r="Y14" i="58"/>
  <c r="B92" i="58"/>
  <c r="I92" i="58" s="1"/>
  <c r="Y16" i="58"/>
  <c r="S92" i="58"/>
  <c r="X92" i="58" s="1"/>
  <c r="X86" i="105"/>
  <c r="Y86" i="105" s="1"/>
  <c r="X85" i="105"/>
  <c r="Y85" i="105" s="1"/>
  <c r="J13" i="105"/>
  <c r="J28" i="105" s="1"/>
  <c r="J33" i="105" s="1"/>
  <c r="B90" i="105"/>
  <c r="I28" i="105"/>
  <c r="G33" i="105" s="1"/>
  <c r="E56" i="105" s="1"/>
  <c r="I57" i="105" s="1"/>
  <c r="X87" i="105"/>
  <c r="Y87" i="105" s="1"/>
  <c r="X69" i="105"/>
  <c r="Y69" i="105" s="1"/>
  <c r="E59" i="105"/>
  <c r="I60" i="105" s="1"/>
  <c r="I72" i="105" s="1"/>
  <c r="J72" i="105" s="1"/>
  <c r="E53" i="105"/>
  <c r="I54" i="105" s="1"/>
  <c r="E65" i="105"/>
  <c r="I66" i="105" s="1"/>
  <c r="I71" i="105" s="1"/>
  <c r="J71" i="105" s="1"/>
  <c r="E62" i="105"/>
  <c r="I63" i="105" s="1"/>
  <c r="I68" i="105" s="1"/>
  <c r="J68" i="105" s="1"/>
  <c r="S93" i="105"/>
  <c r="X90" i="105"/>
  <c r="Y93" i="105" s="1"/>
  <c r="E59" i="104"/>
  <c r="I60" i="104" s="1"/>
  <c r="I72" i="104" s="1"/>
  <c r="J72" i="104" s="1"/>
  <c r="E62" i="104"/>
  <c r="I63" i="104" s="1"/>
  <c r="I68" i="104" s="1"/>
  <c r="J68" i="104" s="1"/>
  <c r="E65" i="104"/>
  <c r="I66" i="104" s="1"/>
  <c r="I71" i="104" s="1"/>
  <c r="J71" i="104" s="1"/>
  <c r="E53" i="104"/>
  <c r="I54" i="104" s="1"/>
  <c r="J12" i="104"/>
  <c r="J28" i="104" s="1"/>
  <c r="J33" i="104" s="1"/>
  <c r="I28" i="104"/>
  <c r="G33" i="104" s="1"/>
  <c r="E56" i="104" s="1"/>
  <c r="I57" i="104" s="1"/>
  <c r="B90" i="104"/>
  <c r="X87" i="104"/>
  <c r="Y87" i="104" s="1"/>
  <c r="X69" i="104"/>
  <c r="Y69" i="104" s="1"/>
  <c r="Y107" i="104" s="1"/>
  <c r="Y109" i="104" s="1"/>
  <c r="J111" i="104" s="1"/>
  <c r="X90" i="103"/>
  <c r="Y93" i="103" s="1"/>
  <c r="S93" i="103"/>
  <c r="J13" i="103"/>
  <c r="J28" i="103" s="1"/>
  <c r="J33" i="103" s="1"/>
  <c r="B90" i="103"/>
  <c r="I28" i="103"/>
  <c r="G33" i="103" s="1"/>
  <c r="E56" i="103" s="1"/>
  <c r="I57" i="103" s="1"/>
  <c r="E59" i="103"/>
  <c r="I60" i="103" s="1"/>
  <c r="I72" i="103" s="1"/>
  <c r="J72" i="103" s="1"/>
  <c r="E65" i="103"/>
  <c r="I66" i="103" s="1"/>
  <c r="I71" i="103" s="1"/>
  <c r="J71" i="103" s="1"/>
  <c r="E62" i="103"/>
  <c r="I63" i="103" s="1"/>
  <c r="I68" i="103" s="1"/>
  <c r="J68" i="103" s="1"/>
  <c r="E53" i="103"/>
  <c r="I54" i="103" s="1"/>
  <c r="X86" i="103"/>
  <c r="Y86" i="103" s="1"/>
  <c r="X85" i="103"/>
  <c r="Y85" i="103" s="1"/>
  <c r="E59" i="102"/>
  <c r="I60" i="102" s="1"/>
  <c r="I72" i="102" s="1"/>
  <c r="J72" i="102" s="1"/>
  <c r="E62" i="102"/>
  <c r="I63" i="102" s="1"/>
  <c r="I68" i="102" s="1"/>
  <c r="J68" i="102" s="1"/>
  <c r="E65" i="102"/>
  <c r="I66" i="102" s="1"/>
  <c r="I71" i="102" s="1"/>
  <c r="J71" i="102" s="1"/>
  <c r="E53" i="102"/>
  <c r="I54" i="102" s="1"/>
  <c r="S92" i="102"/>
  <c r="X92" i="102" s="1"/>
  <c r="Y16" i="102"/>
  <c r="J12" i="102"/>
  <c r="I28" i="102"/>
  <c r="G33" i="102" s="1"/>
  <c r="E56" i="102" s="1"/>
  <c r="I57" i="102" s="1"/>
  <c r="B90" i="102"/>
  <c r="J16" i="102"/>
  <c r="B92" i="102"/>
  <c r="I92" i="102" s="1"/>
  <c r="J15" i="102"/>
  <c r="B91" i="102"/>
  <c r="I91" i="102" s="1"/>
  <c r="X12" i="102"/>
  <c r="T28" i="102"/>
  <c r="S91" i="102"/>
  <c r="X91" i="102" s="1"/>
  <c r="E59" i="101"/>
  <c r="I60" i="101" s="1"/>
  <c r="I72" i="101" s="1"/>
  <c r="J72" i="101" s="1"/>
  <c r="E65" i="101"/>
  <c r="I66" i="101" s="1"/>
  <c r="I71" i="101" s="1"/>
  <c r="J71" i="101" s="1"/>
  <c r="E53" i="101"/>
  <c r="I54" i="101" s="1"/>
  <c r="E62" i="101"/>
  <c r="I63" i="101" s="1"/>
  <c r="I68" i="101" s="1"/>
  <c r="J68" i="101" s="1"/>
  <c r="B90" i="101"/>
  <c r="I28" i="101"/>
  <c r="G33" i="101" s="1"/>
  <c r="E56" i="101" s="1"/>
  <c r="I57" i="101" s="1"/>
  <c r="J12" i="101"/>
  <c r="J28" i="101" s="1"/>
  <c r="J33" i="101" s="1"/>
  <c r="J12" i="100"/>
  <c r="J28" i="100" s="1"/>
  <c r="J33" i="100" s="1"/>
  <c r="B90" i="100"/>
  <c r="I28" i="100"/>
  <c r="G33" i="100" s="1"/>
  <c r="E56" i="100" s="1"/>
  <c r="I57" i="100" s="1"/>
  <c r="E59" i="100"/>
  <c r="I60" i="100" s="1"/>
  <c r="I72" i="100" s="1"/>
  <c r="J72" i="100" s="1"/>
  <c r="E53" i="100"/>
  <c r="I54" i="100" s="1"/>
  <c r="E65" i="100"/>
  <c r="I66" i="100" s="1"/>
  <c r="I71" i="100" s="1"/>
  <c r="J71" i="100" s="1"/>
  <c r="E62" i="100"/>
  <c r="I63" i="100" s="1"/>
  <c r="I68" i="100" s="1"/>
  <c r="J68" i="100" s="1"/>
  <c r="Y107" i="100"/>
  <c r="Y109" i="100" s="1"/>
  <c r="J111" i="100" s="1"/>
  <c r="X69" i="99"/>
  <c r="Y69" i="99" s="1"/>
  <c r="X87" i="99"/>
  <c r="Y87" i="99" s="1"/>
  <c r="E59" i="99"/>
  <c r="I60" i="99" s="1"/>
  <c r="I72" i="99" s="1"/>
  <c r="J72" i="99" s="1"/>
  <c r="E53" i="99"/>
  <c r="I54" i="99" s="1"/>
  <c r="E62" i="99"/>
  <c r="I63" i="99" s="1"/>
  <c r="I68" i="99" s="1"/>
  <c r="J68" i="99" s="1"/>
  <c r="E65" i="99"/>
  <c r="I66" i="99" s="1"/>
  <c r="I71" i="99" s="1"/>
  <c r="J71" i="99" s="1"/>
  <c r="Y105" i="99"/>
  <c r="Y107" i="99" s="1"/>
  <c r="Y109" i="99" s="1"/>
  <c r="J111" i="99" s="1"/>
  <c r="B90" i="99"/>
  <c r="J12" i="99"/>
  <c r="J28" i="99" s="1"/>
  <c r="J33" i="99" s="1"/>
  <c r="I28" i="99"/>
  <c r="G33" i="99" s="1"/>
  <c r="E56" i="99" s="1"/>
  <c r="I57" i="99" s="1"/>
  <c r="J12" i="98"/>
  <c r="J28" i="98" s="1"/>
  <c r="J33" i="98" s="1"/>
  <c r="I28" i="98"/>
  <c r="G33" i="98" s="1"/>
  <c r="E56" i="98" s="1"/>
  <c r="I57" i="98" s="1"/>
  <c r="B90" i="98"/>
  <c r="X87" i="98"/>
  <c r="Y87" i="98" s="1"/>
  <c r="X69" i="98"/>
  <c r="Y69" i="98" s="1"/>
  <c r="Y107" i="98" s="1"/>
  <c r="Y109" i="98" s="1"/>
  <c r="J111" i="98" s="1"/>
  <c r="E59" i="98"/>
  <c r="I60" i="98" s="1"/>
  <c r="I72" i="98" s="1"/>
  <c r="J72" i="98" s="1"/>
  <c r="E62" i="98"/>
  <c r="I63" i="98" s="1"/>
  <c r="I68" i="98" s="1"/>
  <c r="J68" i="98" s="1"/>
  <c r="E65" i="98"/>
  <c r="I66" i="98" s="1"/>
  <c r="I71" i="98" s="1"/>
  <c r="J71" i="98" s="1"/>
  <c r="E53" i="98"/>
  <c r="I54" i="98" s="1"/>
  <c r="X87" i="97"/>
  <c r="Y87" i="97" s="1"/>
  <c r="X69" i="97"/>
  <c r="Y69" i="97" s="1"/>
  <c r="Y107" i="97" s="1"/>
  <c r="Y109" i="97" s="1"/>
  <c r="J111" i="97" s="1"/>
  <c r="E59" i="97"/>
  <c r="I60" i="97" s="1"/>
  <c r="I72" i="97" s="1"/>
  <c r="J72" i="97" s="1"/>
  <c r="E62" i="97"/>
  <c r="I63" i="97" s="1"/>
  <c r="I68" i="97" s="1"/>
  <c r="J68" i="97" s="1"/>
  <c r="E53" i="97"/>
  <c r="I54" i="97" s="1"/>
  <c r="E65" i="97"/>
  <c r="I66" i="97" s="1"/>
  <c r="I71" i="97" s="1"/>
  <c r="J71" i="97" s="1"/>
  <c r="J12" i="97"/>
  <c r="J28" i="97" s="1"/>
  <c r="J33" i="97" s="1"/>
  <c r="I28" i="97"/>
  <c r="G33" i="97" s="1"/>
  <c r="E56" i="97" s="1"/>
  <c r="I57" i="97" s="1"/>
  <c r="B90" i="97"/>
  <c r="Y107" i="96"/>
  <c r="Y109" i="96" s="1"/>
  <c r="J111" i="96" s="1"/>
  <c r="J12" i="96"/>
  <c r="J28" i="96" s="1"/>
  <c r="J33" i="96" s="1"/>
  <c r="I28" i="96"/>
  <c r="G33" i="96" s="1"/>
  <c r="E56" i="96" s="1"/>
  <c r="I57" i="96" s="1"/>
  <c r="B90" i="96"/>
  <c r="E59" i="96"/>
  <c r="I60" i="96" s="1"/>
  <c r="I72" i="96" s="1"/>
  <c r="J72" i="96" s="1"/>
  <c r="E62" i="96"/>
  <c r="I63" i="96" s="1"/>
  <c r="I68" i="96" s="1"/>
  <c r="J68" i="96" s="1"/>
  <c r="E65" i="96"/>
  <c r="I66" i="96" s="1"/>
  <c r="I71" i="96" s="1"/>
  <c r="J71" i="96" s="1"/>
  <c r="E53" i="96"/>
  <c r="I54" i="96" s="1"/>
  <c r="E59" i="95"/>
  <c r="I60" i="95" s="1"/>
  <c r="I72" i="95" s="1"/>
  <c r="J72" i="95" s="1"/>
  <c r="E62" i="95"/>
  <c r="I63" i="95" s="1"/>
  <c r="I68" i="95" s="1"/>
  <c r="J68" i="95" s="1"/>
  <c r="E65" i="95"/>
  <c r="I66" i="95" s="1"/>
  <c r="I71" i="95" s="1"/>
  <c r="J71" i="95" s="1"/>
  <c r="E53" i="95"/>
  <c r="I54" i="95" s="1"/>
  <c r="X86" i="95"/>
  <c r="Y86" i="95" s="1"/>
  <c r="X85" i="95"/>
  <c r="Y85" i="95" s="1"/>
  <c r="J12" i="95"/>
  <c r="J28" i="95" s="1"/>
  <c r="J33" i="95" s="1"/>
  <c r="I28" i="95"/>
  <c r="G33" i="95" s="1"/>
  <c r="E56" i="95" s="1"/>
  <c r="I57" i="95" s="1"/>
  <c r="B90" i="95"/>
  <c r="X86" i="94"/>
  <c r="Y86" i="94" s="1"/>
  <c r="X85" i="94"/>
  <c r="Y85" i="94" s="1"/>
  <c r="I28" i="94"/>
  <c r="G33" i="94" s="1"/>
  <c r="E56" i="94" s="1"/>
  <c r="I57" i="94" s="1"/>
  <c r="B90" i="94"/>
  <c r="J12" i="94"/>
  <c r="J28" i="94" s="1"/>
  <c r="J33" i="94" s="1"/>
  <c r="S93" i="94"/>
  <c r="X90" i="94"/>
  <c r="Y93" i="94" s="1"/>
  <c r="E59" i="94"/>
  <c r="I60" i="94" s="1"/>
  <c r="I72" i="94" s="1"/>
  <c r="J72" i="94" s="1"/>
  <c r="E65" i="94"/>
  <c r="I66" i="94" s="1"/>
  <c r="I71" i="94" s="1"/>
  <c r="J71" i="94" s="1"/>
  <c r="E53" i="94"/>
  <c r="I54" i="94" s="1"/>
  <c r="E62" i="94"/>
  <c r="I63" i="94" s="1"/>
  <c r="I68" i="94" s="1"/>
  <c r="J68" i="94" s="1"/>
  <c r="J12" i="93"/>
  <c r="J28" i="93" s="1"/>
  <c r="J33" i="93" s="1"/>
  <c r="I28" i="93"/>
  <c r="G33" i="93" s="1"/>
  <c r="E56" i="93" s="1"/>
  <c r="I57" i="93" s="1"/>
  <c r="B90" i="93"/>
  <c r="E59" i="93"/>
  <c r="I60" i="93" s="1"/>
  <c r="I72" i="93" s="1"/>
  <c r="J72" i="93" s="1"/>
  <c r="E65" i="93"/>
  <c r="I66" i="93" s="1"/>
  <c r="I71" i="93" s="1"/>
  <c r="J71" i="93" s="1"/>
  <c r="E62" i="93"/>
  <c r="I63" i="93" s="1"/>
  <c r="I68" i="93" s="1"/>
  <c r="J68" i="93" s="1"/>
  <c r="E53" i="93"/>
  <c r="I54" i="93" s="1"/>
  <c r="X69" i="93"/>
  <c r="Y69" i="93" s="1"/>
  <c r="X87" i="93"/>
  <c r="Y87" i="93" s="1"/>
  <c r="X69" i="92"/>
  <c r="Y69" i="92" s="1"/>
  <c r="E59" i="92"/>
  <c r="I60" i="92" s="1"/>
  <c r="I72" i="92" s="1"/>
  <c r="J72" i="92" s="1"/>
  <c r="E65" i="92"/>
  <c r="I66" i="92" s="1"/>
  <c r="I71" i="92" s="1"/>
  <c r="J71" i="92" s="1"/>
  <c r="E62" i="92"/>
  <c r="I63" i="92" s="1"/>
  <c r="I68" i="92" s="1"/>
  <c r="J68" i="92" s="1"/>
  <c r="E53" i="92"/>
  <c r="I54" i="92" s="1"/>
  <c r="J12" i="92"/>
  <c r="J28" i="92" s="1"/>
  <c r="J33" i="92" s="1"/>
  <c r="I28" i="92"/>
  <c r="G33" i="92" s="1"/>
  <c r="E56" i="92" s="1"/>
  <c r="I57" i="92" s="1"/>
  <c r="B90" i="92"/>
  <c r="X90" i="92"/>
  <c r="Y93" i="92" s="1"/>
  <c r="S93" i="92"/>
  <c r="E62" i="91"/>
  <c r="I63" i="91" s="1"/>
  <c r="I68" i="91" s="1"/>
  <c r="J68" i="91" s="1"/>
  <c r="E65" i="91"/>
  <c r="I66" i="91" s="1"/>
  <c r="I71" i="91" s="1"/>
  <c r="J71" i="91" s="1"/>
  <c r="E59" i="91"/>
  <c r="I60" i="91" s="1"/>
  <c r="I72" i="91" s="1"/>
  <c r="J72" i="91" s="1"/>
  <c r="E53" i="91"/>
  <c r="I54" i="91" s="1"/>
  <c r="X85" i="91"/>
  <c r="Y85" i="91" s="1"/>
  <c r="X86" i="91"/>
  <c r="Y86" i="91" s="1"/>
  <c r="J12" i="91"/>
  <c r="J28" i="91" s="1"/>
  <c r="J33" i="91" s="1"/>
  <c r="I28" i="91"/>
  <c r="G33" i="91" s="1"/>
  <c r="E56" i="91" s="1"/>
  <c r="I57" i="91" s="1"/>
  <c r="B90" i="91"/>
  <c r="X90" i="91"/>
  <c r="Y93" i="91" s="1"/>
  <c r="Y107" i="91" s="1"/>
  <c r="Y109" i="91" s="1"/>
  <c r="J111" i="91" s="1"/>
  <c r="S93" i="91"/>
  <c r="J12" i="90"/>
  <c r="J28" i="90" s="1"/>
  <c r="J33" i="90" s="1"/>
  <c r="B90" i="90"/>
  <c r="I28" i="90"/>
  <c r="G33" i="90" s="1"/>
  <c r="E56" i="90" s="1"/>
  <c r="I57" i="90" s="1"/>
  <c r="X87" i="90"/>
  <c r="Y87" i="90" s="1"/>
  <c r="X69" i="90"/>
  <c r="Y69" i="90" s="1"/>
  <c r="Y107" i="90" s="1"/>
  <c r="Y109" i="90" s="1"/>
  <c r="J111" i="90" s="1"/>
  <c r="E59" i="90"/>
  <c r="I60" i="90" s="1"/>
  <c r="I72" i="90" s="1"/>
  <c r="J72" i="90" s="1"/>
  <c r="E53" i="90"/>
  <c r="I54" i="90" s="1"/>
  <c r="E62" i="90"/>
  <c r="I63" i="90" s="1"/>
  <c r="I68" i="90" s="1"/>
  <c r="J68" i="90" s="1"/>
  <c r="E65" i="90"/>
  <c r="I66" i="90" s="1"/>
  <c r="I71" i="90" s="1"/>
  <c r="J71" i="90" s="1"/>
  <c r="X90" i="89"/>
  <c r="Y93" i="89" s="1"/>
  <c r="S93" i="89"/>
  <c r="J12" i="89"/>
  <c r="J28" i="89" s="1"/>
  <c r="J33" i="89" s="1"/>
  <c r="B90" i="89"/>
  <c r="I28" i="89"/>
  <c r="G33" i="89" s="1"/>
  <c r="E56" i="89" s="1"/>
  <c r="I57" i="89" s="1"/>
  <c r="X86" i="89"/>
  <c r="Y86" i="89" s="1"/>
  <c r="X85" i="89"/>
  <c r="Y85" i="89" s="1"/>
  <c r="E59" i="89"/>
  <c r="I60" i="89" s="1"/>
  <c r="I72" i="89" s="1"/>
  <c r="J72" i="89" s="1"/>
  <c r="E62" i="89"/>
  <c r="I63" i="89" s="1"/>
  <c r="I68" i="89" s="1"/>
  <c r="J68" i="89" s="1"/>
  <c r="E53" i="89"/>
  <c r="I54" i="89" s="1"/>
  <c r="E65" i="89"/>
  <c r="I66" i="89" s="1"/>
  <c r="I71" i="89" s="1"/>
  <c r="J71" i="89" s="1"/>
  <c r="Y107" i="88"/>
  <c r="Y109" i="88" s="1"/>
  <c r="J111" i="88" s="1"/>
  <c r="J12" i="88"/>
  <c r="J28" i="88" s="1"/>
  <c r="J33" i="88" s="1"/>
  <c r="I28" i="88"/>
  <c r="G33" i="88" s="1"/>
  <c r="E56" i="88" s="1"/>
  <c r="I57" i="88" s="1"/>
  <c r="B90" i="88"/>
  <c r="E59" i="88"/>
  <c r="I60" i="88" s="1"/>
  <c r="I72" i="88" s="1"/>
  <c r="J72" i="88" s="1"/>
  <c r="E62" i="88"/>
  <c r="I63" i="88" s="1"/>
  <c r="I68" i="88" s="1"/>
  <c r="J68" i="88" s="1"/>
  <c r="E65" i="88"/>
  <c r="I66" i="88" s="1"/>
  <c r="I71" i="88" s="1"/>
  <c r="J71" i="88" s="1"/>
  <c r="E53" i="88"/>
  <c r="I54" i="88" s="1"/>
  <c r="Y93" i="87"/>
  <c r="X86" i="87"/>
  <c r="Y86" i="87" s="1"/>
  <c r="X85" i="87"/>
  <c r="Y85" i="87" s="1"/>
  <c r="J12" i="87"/>
  <c r="J28" i="87" s="1"/>
  <c r="J33" i="87" s="1"/>
  <c r="I28" i="87"/>
  <c r="G33" i="87" s="1"/>
  <c r="E56" i="87" s="1"/>
  <c r="I57" i="87" s="1"/>
  <c r="B90" i="87"/>
  <c r="E59" i="87"/>
  <c r="I60" i="87" s="1"/>
  <c r="I72" i="87" s="1"/>
  <c r="J72" i="87" s="1"/>
  <c r="E65" i="87"/>
  <c r="I66" i="87" s="1"/>
  <c r="I71" i="87" s="1"/>
  <c r="J71" i="87" s="1"/>
  <c r="E53" i="87"/>
  <c r="I54" i="87" s="1"/>
  <c r="E62" i="87"/>
  <c r="I63" i="87" s="1"/>
  <c r="I68" i="87" s="1"/>
  <c r="J68" i="87" s="1"/>
  <c r="X90" i="86"/>
  <c r="Y93" i="86" s="1"/>
  <c r="S93" i="86"/>
  <c r="X86" i="86"/>
  <c r="Y86" i="86" s="1"/>
  <c r="X85" i="86"/>
  <c r="Y85" i="86" s="1"/>
  <c r="J12" i="86"/>
  <c r="J28" i="86" s="1"/>
  <c r="J33" i="86" s="1"/>
  <c r="I28" i="86"/>
  <c r="G33" i="86" s="1"/>
  <c r="E56" i="86" s="1"/>
  <c r="I57" i="86" s="1"/>
  <c r="B90" i="86"/>
  <c r="Y107" i="86"/>
  <c r="Y109" i="86" s="1"/>
  <c r="J111" i="86" s="1"/>
  <c r="E65" i="86"/>
  <c r="I66" i="86" s="1"/>
  <c r="I71" i="86" s="1"/>
  <c r="J71" i="86" s="1"/>
  <c r="E62" i="86"/>
  <c r="I63" i="86" s="1"/>
  <c r="I68" i="86" s="1"/>
  <c r="J68" i="86" s="1"/>
  <c r="E59" i="86"/>
  <c r="I60" i="86" s="1"/>
  <c r="I72" i="86" s="1"/>
  <c r="J72" i="86" s="1"/>
  <c r="E53" i="86"/>
  <c r="I54" i="86" s="1"/>
  <c r="E59" i="85"/>
  <c r="I60" i="85" s="1"/>
  <c r="I72" i="85" s="1"/>
  <c r="J72" i="85" s="1"/>
  <c r="E65" i="85"/>
  <c r="I66" i="85" s="1"/>
  <c r="I71" i="85" s="1"/>
  <c r="J71" i="85" s="1"/>
  <c r="E62" i="85"/>
  <c r="I63" i="85" s="1"/>
  <c r="I68" i="85" s="1"/>
  <c r="J68" i="85" s="1"/>
  <c r="E53" i="85"/>
  <c r="I54" i="85" s="1"/>
  <c r="X86" i="85"/>
  <c r="Y86" i="85" s="1"/>
  <c r="X85" i="85"/>
  <c r="Y85" i="85" s="1"/>
  <c r="I28" i="85"/>
  <c r="G33" i="85" s="1"/>
  <c r="E56" i="85" s="1"/>
  <c r="I57" i="85" s="1"/>
  <c r="J12" i="85"/>
  <c r="J28" i="85" s="1"/>
  <c r="J33" i="85" s="1"/>
  <c r="B90" i="85"/>
  <c r="S93" i="85"/>
  <c r="X90" i="85"/>
  <c r="Y93" i="85" s="1"/>
  <c r="X69" i="84"/>
  <c r="Y69" i="84" s="1"/>
  <c r="Y107" i="84" s="1"/>
  <c r="Y109" i="84" s="1"/>
  <c r="J111" i="84" s="1"/>
  <c r="I28" i="84"/>
  <c r="G33" i="84" s="1"/>
  <c r="E56" i="84" s="1"/>
  <c r="I57" i="84" s="1"/>
  <c r="J12" i="84"/>
  <c r="J28" i="84" s="1"/>
  <c r="J33" i="84" s="1"/>
  <c r="B90" i="84"/>
  <c r="E59" i="84"/>
  <c r="I60" i="84" s="1"/>
  <c r="I72" i="84" s="1"/>
  <c r="J72" i="84" s="1"/>
  <c r="E65" i="84"/>
  <c r="I66" i="84" s="1"/>
  <c r="I71" i="84" s="1"/>
  <c r="J71" i="84" s="1"/>
  <c r="E62" i="84"/>
  <c r="I63" i="84" s="1"/>
  <c r="I68" i="84" s="1"/>
  <c r="J68" i="84" s="1"/>
  <c r="E53" i="84"/>
  <c r="I54" i="84" s="1"/>
  <c r="X85" i="83"/>
  <c r="Y85" i="83" s="1"/>
  <c r="B93" i="83"/>
  <c r="I90" i="83"/>
  <c r="E59" i="83"/>
  <c r="I60" i="83" s="1"/>
  <c r="I72" i="83" s="1"/>
  <c r="J72" i="83" s="1"/>
  <c r="E53" i="83"/>
  <c r="I54" i="83" s="1"/>
  <c r="E62" i="83"/>
  <c r="I63" i="83" s="1"/>
  <c r="I68" i="83" s="1"/>
  <c r="J68" i="83" s="1"/>
  <c r="E65" i="83"/>
  <c r="I66" i="83" s="1"/>
  <c r="I71" i="83" s="1"/>
  <c r="J71" i="83" s="1"/>
  <c r="X87" i="83"/>
  <c r="Y87" i="83" s="1"/>
  <c r="X69" i="83"/>
  <c r="Y69" i="83" s="1"/>
  <c r="Y107" i="83" s="1"/>
  <c r="Y109" i="83" s="1"/>
  <c r="J111" i="83" s="1"/>
  <c r="J93" i="83"/>
  <c r="I86" i="83"/>
  <c r="J86" i="83" s="1"/>
  <c r="I85" i="83"/>
  <c r="J85" i="83" s="1"/>
  <c r="E59" i="82"/>
  <c r="I60" i="82" s="1"/>
  <c r="I72" i="82" s="1"/>
  <c r="J72" i="82" s="1"/>
  <c r="E65" i="82"/>
  <c r="I66" i="82" s="1"/>
  <c r="I71" i="82" s="1"/>
  <c r="J71" i="82" s="1"/>
  <c r="E62" i="82"/>
  <c r="I63" i="82" s="1"/>
  <c r="I68" i="82" s="1"/>
  <c r="J68" i="82" s="1"/>
  <c r="E53" i="82"/>
  <c r="I54" i="82" s="1"/>
  <c r="X86" i="82"/>
  <c r="Y86" i="82" s="1"/>
  <c r="X85" i="82"/>
  <c r="Y85" i="82" s="1"/>
  <c r="J12" i="82"/>
  <c r="J28" i="82" s="1"/>
  <c r="J33" i="82" s="1"/>
  <c r="I28" i="82"/>
  <c r="G33" i="82" s="1"/>
  <c r="E56" i="82" s="1"/>
  <c r="I57" i="82" s="1"/>
  <c r="B90" i="82"/>
  <c r="X90" i="82"/>
  <c r="Y93" i="82" s="1"/>
  <c r="Y107" i="82" s="1"/>
  <c r="Y109" i="82" s="1"/>
  <c r="J111" i="82" s="1"/>
  <c r="S93" i="82"/>
  <c r="X86" i="81"/>
  <c r="Y86" i="81" s="1"/>
  <c r="X85" i="81"/>
  <c r="Y85" i="81" s="1"/>
  <c r="E59" i="81"/>
  <c r="I60" i="81" s="1"/>
  <c r="I72" i="81" s="1"/>
  <c r="J72" i="81" s="1"/>
  <c r="E62" i="81"/>
  <c r="I63" i="81" s="1"/>
  <c r="I68" i="81" s="1"/>
  <c r="J68" i="81" s="1"/>
  <c r="E53" i="81"/>
  <c r="I54" i="81" s="1"/>
  <c r="E65" i="81"/>
  <c r="I66" i="81" s="1"/>
  <c r="I71" i="81" s="1"/>
  <c r="J71" i="81" s="1"/>
  <c r="B90" i="81"/>
  <c r="J12" i="81"/>
  <c r="J28" i="81" s="1"/>
  <c r="J33" i="81" s="1"/>
  <c r="I28" i="81"/>
  <c r="G33" i="81" s="1"/>
  <c r="E56" i="81" s="1"/>
  <c r="I57" i="81" s="1"/>
  <c r="X90" i="81"/>
  <c r="Y93" i="81" s="1"/>
  <c r="Y107" i="81" s="1"/>
  <c r="Y109" i="81" s="1"/>
  <c r="J111" i="81" s="1"/>
  <c r="S93" i="81"/>
  <c r="Y107" i="80"/>
  <c r="Y109" i="80" s="1"/>
  <c r="J111" i="80" s="1"/>
  <c r="J12" i="80"/>
  <c r="J28" i="80" s="1"/>
  <c r="J33" i="80" s="1"/>
  <c r="B90" i="80"/>
  <c r="I28" i="80"/>
  <c r="G33" i="80" s="1"/>
  <c r="E56" i="80" s="1"/>
  <c r="I57" i="80" s="1"/>
  <c r="E59" i="80"/>
  <c r="I60" i="80" s="1"/>
  <c r="I72" i="80" s="1"/>
  <c r="J72" i="80" s="1"/>
  <c r="E62" i="80"/>
  <c r="I63" i="80" s="1"/>
  <c r="I68" i="80" s="1"/>
  <c r="J68" i="80" s="1"/>
  <c r="E53" i="80"/>
  <c r="I54" i="80" s="1"/>
  <c r="E65" i="80"/>
  <c r="I66" i="80" s="1"/>
  <c r="I71" i="80" s="1"/>
  <c r="J71" i="80" s="1"/>
  <c r="I28" i="79"/>
  <c r="G33" i="79" s="1"/>
  <c r="E56" i="79" s="1"/>
  <c r="I57" i="79" s="1"/>
  <c r="J12" i="79"/>
  <c r="J28" i="79" s="1"/>
  <c r="J33" i="79" s="1"/>
  <c r="B90" i="79"/>
  <c r="S93" i="79"/>
  <c r="X90" i="79"/>
  <c r="Y93" i="79" s="1"/>
  <c r="X86" i="79"/>
  <c r="Y86" i="79" s="1"/>
  <c r="X85" i="79"/>
  <c r="Y85" i="79" s="1"/>
  <c r="E59" i="79"/>
  <c r="I60" i="79" s="1"/>
  <c r="I72" i="79" s="1"/>
  <c r="J72" i="79" s="1"/>
  <c r="E65" i="79"/>
  <c r="I66" i="79" s="1"/>
  <c r="I71" i="79" s="1"/>
  <c r="J71" i="79" s="1"/>
  <c r="E53" i="79"/>
  <c r="I54" i="79" s="1"/>
  <c r="E62" i="79"/>
  <c r="I63" i="79" s="1"/>
  <c r="I68" i="79" s="1"/>
  <c r="J68" i="79" s="1"/>
  <c r="E59" i="78"/>
  <c r="I60" i="78" s="1"/>
  <c r="I72" i="78" s="1"/>
  <c r="J72" i="78" s="1"/>
  <c r="E53" i="78"/>
  <c r="I54" i="78" s="1"/>
  <c r="E62" i="78"/>
  <c r="I63" i="78" s="1"/>
  <c r="I68" i="78" s="1"/>
  <c r="J68" i="78" s="1"/>
  <c r="E65" i="78"/>
  <c r="I66" i="78" s="1"/>
  <c r="I71" i="78" s="1"/>
  <c r="J71" i="78" s="1"/>
  <c r="X87" i="78"/>
  <c r="Y87" i="78" s="1"/>
  <c r="X69" i="78"/>
  <c r="Y69" i="78" s="1"/>
  <c r="Y107" i="78" s="1"/>
  <c r="Y109" i="78" s="1"/>
  <c r="J111" i="78" s="1"/>
  <c r="B90" i="78"/>
  <c r="J12" i="78"/>
  <c r="J28" i="78" s="1"/>
  <c r="J33" i="78" s="1"/>
  <c r="I28" i="78"/>
  <c r="G33" i="78" s="1"/>
  <c r="E56" i="78" s="1"/>
  <c r="I57" i="78" s="1"/>
  <c r="J12" i="77"/>
  <c r="I28" i="77"/>
  <c r="G33" i="77" s="1"/>
  <c r="E56" i="77" s="1"/>
  <c r="I57" i="77" s="1"/>
  <c r="B90" i="77"/>
  <c r="B91" i="77"/>
  <c r="I91" i="77" s="1"/>
  <c r="T28" i="77"/>
  <c r="X12" i="77"/>
  <c r="J16" i="77"/>
  <c r="B92" i="77"/>
  <c r="I92" i="77" s="1"/>
  <c r="Y15" i="77"/>
  <c r="S91" i="77"/>
  <c r="X91" i="77" s="1"/>
  <c r="E59" i="77"/>
  <c r="I60" i="77" s="1"/>
  <c r="I72" i="77" s="1"/>
  <c r="J72" i="77" s="1"/>
  <c r="E65" i="77"/>
  <c r="I66" i="77" s="1"/>
  <c r="I71" i="77" s="1"/>
  <c r="J71" i="77" s="1"/>
  <c r="E62" i="77"/>
  <c r="I63" i="77" s="1"/>
  <c r="I68" i="77" s="1"/>
  <c r="J68" i="77" s="1"/>
  <c r="E53" i="77"/>
  <c r="I54" i="77" s="1"/>
  <c r="S92" i="77"/>
  <c r="X92" i="77" s="1"/>
  <c r="Y16" i="77"/>
  <c r="E59" i="76"/>
  <c r="I60" i="76" s="1"/>
  <c r="I72" i="76" s="1"/>
  <c r="J72" i="76" s="1"/>
  <c r="E62" i="76"/>
  <c r="I63" i="76" s="1"/>
  <c r="I68" i="76" s="1"/>
  <c r="J68" i="76" s="1"/>
  <c r="E65" i="76"/>
  <c r="I66" i="76" s="1"/>
  <c r="I71" i="76" s="1"/>
  <c r="J71" i="76" s="1"/>
  <c r="E53" i="76"/>
  <c r="I54" i="76" s="1"/>
  <c r="J12" i="76"/>
  <c r="J28" i="76" s="1"/>
  <c r="J33" i="76" s="1"/>
  <c r="I28" i="76"/>
  <c r="G33" i="76" s="1"/>
  <c r="E56" i="76" s="1"/>
  <c r="I57" i="76" s="1"/>
  <c r="B90" i="76"/>
  <c r="Y105" i="76"/>
  <c r="S93" i="75"/>
  <c r="Y107" i="75"/>
  <c r="Y109" i="75" s="1"/>
  <c r="J111" i="75" s="1"/>
  <c r="E59" i="75"/>
  <c r="I60" i="75" s="1"/>
  <c r="I72" i="75" s="1"/>
  <c r="J72" i="75" s="1"/>
  <c r="E62" i="75"/>
  <c r="I63" i="75" s="1"/>
  <c r="I68" i="75" s="1"/>
  <c r="J68" i="75" s="1"/>
  <c r="E65" i="75"/>
  <c r="I66" i="75" s="1"/>
  <c r="I71" i="75" s="1"/>
  <c r="J71" i="75" s="1"/>
  <c r="E53" i="75"/>
  <c r="I54" i="75" s="1"/>
  <c r="J12" i="75"/>
  <c r="J28" i="75" s="1"/>
  <c r="J33" i="75" s="1"/>
  <c r="I28" i="75"/>
  <c r="G33" i="75" s="1"/>
  <c r="E56" i="75" s="1"/>
  <c r="I57" i="75" s="1"/>
  <c r="B90" i="75"/>
  <c r="E59" i="74"/>
  <c r="I60" i="74" s="1"/>
  <c r="I72" i="74" s="1"/>
  <c r="J72" i="74" s="1"/>
  <c r="E62" i="74"/>
  <c r="I63" i="74" s="1"/>
  <c r="I68" i="74" s="1"/>
  <c r="J68" i="74" s="1"/>
  <c r="E65" i="74"/>
  <c r="I66" i="74" s="1"/>
  <c r="I71" i="74" s="1"/>
  <c r="J71" i="74" s="1"/>
  <c r="E53" i="74"/>
  <c r="I54" i="74" s="1"/>
  <c r="X86" i="74"/>
  <c r="Y86" i="74" s="1"/>
  <c r="X85" i="74"/>
  <c r="Y85" i="74" s="1"/>
  <c r="J12" i="74"/>
  <c r="J28" i="74" s="1"/>
  <c r="J33" i="74" s="1"/>
  <c r="I28" i="74"/>
  <c r="G33" i="74" s="1"/>
  <c r="E56" i="74" s="1"/>
  <c r="I57" i="74" s="1"/>
  <c r="B90" i="74"/>
  <c r="X90" i="74"/>
  <c r="Y93" i="74" s="1"/>
  <c r="Y107" i="74" s="1"/>
  <c r="Y109" i="74" s="1"/>
  <c r="J111" i="74" s="1"/>
  <c r="S93" i="74"/>
  <c r="E59" i="73"/>
  <c r="I60" i="73" s="1"/>
  <c r="I72" i="73" s="1"/>
  <c r="J72" i="73" s="1"/>
  <c r="E65" i="73"/>
  <c r="I66" i="73" s="1"/>
  <c r="I71" i="73" s="1"/>
  <c r="J71" i="73" s="1"/>
  <c r="E62" i="73"/>
  <c r="I63" i="73" s="1"/>
  <c r="I68" i="73" s="1"/>
  <c r="J68" i="73" s="1"/>
  <c r="E53" i="73"/>
  <c r="I54" i="73" s="1"/>
  <c r="Y107" i="73"/>
  <c r="Y109" i="73" s="1"/>
  <c r="J111" i="73" s="1"/>
  <c r="I28" i="73"/>
  <c r="G33" i="73" s="1"/>
  <c r="E56" i="73" s="1"/>
  <c r="I57" i="73" s="1"/>
  <c r="J12" i="73"/>
  <c r="J28" i="73" s="1"/>
  <c r="J33" i="73" s="1"/>
  <c r="B90" i="73"/>
  <c r="E59" i="72"/>
  <c r="I60" i="72" s="1"/>
  <c r="I72" i="72" s="1"/>
  <c r="J72" i="72" s="1"/>
  <c r="E53" i="72"/>
  <c r="I54" i="72" s="1"/>
  <c r="E62" i="72"/>
  <c r="I63" i="72" s="1"/>
  <c r="I68" i="72" s="1"/>
  <c r="J68" i="72" s="1"/>
  <c r="E65" i="72"/>
  <c r="I66" i="72" s="1"/>
  <c r="I71" i="72" s="1"/>
  <c r="J71" i="72" s="1"/>
  <c r="Y105" i="72"/>
  <c r="Y107" i="72" s="1"/>
  <c r="Y109" i="72" s="1"/>
  <c r="J111" i="72" s="1"/>
  <c r="J12" i="72"/>
  <c r="J28" i="72" s="1"/>
  <c r="J33" i="72" s="1"/>
  <c r="I28" i="72"/>
  <c r="G33" i="72" s="1"/>
  <c r="E56" i="72" s="1"/>
  <c r="I57" i="72" s="1"/>
  <c r="B90" i="72"/>
  <c r="X87" i="71"/>
  <c r="Y87" i="71" s="1"/>
  <c r="X69" i="71"/>
  <c r="Y69" i="71" s="1"/>
  <c r="E59" i="71"/>
  <c r="I60" i="71" s="1"/>
  <c r="I72" i="71" s="1"/>
  <c r="J72" i="71" s="1"/>
  <c r="E65" i="71"/>
  <c r="I66" i="71" s="1"/>
  <c r="I71" i="71" s="1"/>
  <c r="J71" i="71" s="1"/>
  <c r="E62" i="71"/>
  <c r="I63" i="71" s="1"/>
  <c r="I68" i="71" s="1"/>
  <c r="J68" i="71" s="1"/>
  <c r="E53" i="71"/>
  <c r="I54" i="71" s="1"/>
  <c r="I28" i="71"/>
  <c r="G33" i="71" s="1"/>
  <c r="E56" i="71" s="1"/>
  <c r="I57" i="71" s="1"/>
  <c r="B90" i="71"/>
  <c r="J12" i="71"/>
  <c r="J28" i="71" s="1"/>
  <c r="J33" i="71" s="1"/>
  <c r="Y105" i="71"/>
  <c r="J12" i="70"/>
  <c r="J28" i="70" s="1"/>
  <c r="J33" i="70" s="1"/>
  <c r="B90" i="70"/>
  <c r="I28" i="70"/>
  <c r="G33" i="70" s="1"/>
  <c r="E56" i="70" s="1"/>
  <c r="I57" i="70" s="1"/>
  <c r="E59" i="70"/>
  <c r="I60" i="70" s="1"/>
  <c r="I72" i="70" s="1"/>
  <c r="J72" i="70" s="1"/>
  <c r="E62" i="70"/>
  <c r="I63" i="70" s="1"/>
  <c r="I68" i="70" s="1"/>
  <c r="J68" i="70" s="1"/>
  <c r="E53" i="70"/>
  <c r="I54" i="70" s="1"/>
  <c r="E65" i="70"/>
  <c r="I66" i="70" s="1"/>
  <c r="I71" i="70" s="1"/>
  <c r="J71" i="70" s="1"/>
  <c r="X90" i="70"/>
  <c r="Y93" i="70" s="1"/>
  <c r="S93" i="70"/>
  <c r="X86" i="70"/>
  <c r="Y86" i="70" s="1"/>
  <c r="X85" i="70"/>
  <c r="Y85" i="70" s="1"/>
  <c r="Y15" i="69"/>
  <c r="S91" i="69"/>
  <c r="X91" i="69" s="1"/>
  <c r="J16" i="69"/>
  <c r="B92" i="69"/>
  <c r="I92" i="69" s="1"/>
  <c r="B91" i="69"/>
  <c r="I91" i="69" s="1"/>
  <c r="E59" i="69"/>
  <c r="I60" i="69" s="1"/>
  <c r="I72" i="69" s="1"/>
  <c r="J72" i="69" s="1"/>
  <c r="E53" i="69"/>
  <c r="I54" i="69" s="1"/>
  <c r="E65" i="69"/>
  <c r="I66" i="69" s="1"/>
  <c r="I71" i="69" s="1"/>
  <c r="J71" i="69" s="1"/>
  <c r="E62" i="69"/>
  <c r="I63" i="69" s="1"/>
  <c r="I68" i="69" s="1"/>
  <c r="J68" i="69" s="1"/>
  <c r="J12" i="69"/>
  <c r="B90" i="69"/>
  <c r="I28" i="69"/>
  <c r="G33" i="69" s="1"/>
  <c r="E56" i="69" s="1"/>
  <c r="I57" i="69" s="1"/>
  <c r="X12" i="69"/>
  <c r="T28" i="69"/>
  <c r="S92" i="69"/>
  <c r="X92" i="69" s="1"/>
  <c r="Y16" i="69"/>
  <c r="Y16" i="68"/>
  <c r="S92" i="68"/>
  <c r="X92" i="68" s="1"/>
  <c r="J15" i="68"/>
  <c r="B91" i="68"/>
  <c r="I91" i="68" s="1"/>
  <c r="J12" i="68"/>
  <c r="I28" i="68"/>
  <c r="G33" i="68" s="1"/>
  <c r="E56" i="68" s="1"/>
  <c r="I57" i="68" s="1"/>
  <c r="B90" i="68"/>
  <c r="J16" i="68"/>
  <c r="B92" i="68"/>
  <c r="I92" i="68" s="1"/>
  <c r="S91" i="68"/>
  <c r="X91" i="68" s="1"/>
  <c r="E59" i="68"/>
  <c r="I60" i="68" s="1"/>
  <c r="I72" i="68" s="1"/>
  <c r="J72" i="68" s="1"/>
  <c r="E62" i="68"/>
  <c r="I63" i="68" s="1"/>
  <c r="I68" i="68" s="1"/>
  <c r="J68" i="68" s="1"/>
  <c r="E65" i="68"/>
  <c r="I66" i="68" s="1"/>
  <c r="I71" i="68" s="1"/>
  <c r="J71" i="68" s="1"/>
  <c r="E53" i="68"/>
  <c r="I54" i="68" s="1"/>
  <c r="T28" i="68"/>
  <c r="X12" i="68"/>
  <c r="J16" i="67"/>
  <c r="B92" i="67"/>
  <c r="I92" i="67" s="1"/>
  <c r="I28" i="67"/>
  <c r="G33" i="67" s="1"/>
  <c r="E56" i="67" s="1"/>
  <c r="I57" i="67" s="1"/>
  <c r="J12" i="67"/>
  <c r="B90" i="67"/>
  <c r="J15" i="67"/>
  <c r="B91" i="67"/>
  <c r="I91" i="67" s="1"/>
  <c r="S92" i="67"/>
  <c r="X92" i="67" s="1"/>
  <c r="Y16" i="67"/>
  <c r="S91" i="67"/>
  <c r="X91" i="67" s="1"/>
  <c r="E59" i="67"/>
  <c r="I60" i="67" s="1"/>
  <c r="I72" i="67" s="1"/>
  <c r="J72" i="67" s="1"/>
  <c r="E65" i="67"/>
  <c r="I66" i="67" s="1"/>
  <c r="I71" i="67" s="1"/>
  <c r="J71" i="67" s="1"/>
  <c r="E53" i="67"/>
  <c r="I54" i="67" s="1"/>
  <c r="E62" i="67"/>
  <c r="I63" i="67" s="1"/>
  <c r="I68" i="67" s="1"/>
  <c r="J68" i="67" s="1"/>
  <c r="X12" i="67"/>
  <c r="T28" i="67"/>
  <c r="B93" i="66"/>
  <c r="I90" i="66"/>
  <c r="E59" i="66"/>
  <c r="I60" i="66" s="1"/>
  <c r="I72" i="66" s="1"/>
  <c r="J72" i="66" s="1"/>
  <c r="E62" i="66"/>
  <c r="I63" i="66" s="1"/>
  <c r="I68" i="66" s="1"/>
  <c r="J68" i="66" s="1"/>
  <c r="E65" i="66"/>
  <c r="I66" i="66" s="1"/>
  <c r="I71" i="66" s="1"/>
  <c r="J71" i="66" s="1"/>
  <c r="E53" i="66"/>
  <c r="I54" i="66" s="1"/>
  <c r="X86" i="66"/>
  <c r="Y86" i="66" s="1"/>
  <c r="X85" i="66"/>
  <c r="Y85" i="66" s="1"/>
  <c r="J93" i="66"/>
  <c r="E59" i="65"/>
  <c r="I60" i="65" s="1"/>
  <c r="I72" i="65" s="1"/>
  <c r="J72" i="65" s="1"/>
  <c r="E65" i="65"/>
  <c r="I66" i="65" s="1"/>
  <c r="I71" i="65" s="1"/>
  <c r="J71" i="65" s="1"/>
  <c r="E62" i="65"/>
  <c r="I63" i="65" s="1"/>
  <c r="I68" i="65" s="1"/>
  <c r="J68" i="65" s="1"/>
  <c r="E53" i="65"/>
  <c r="I54" i="65" s="1"/>
  <c r="Y107" i="65"/>
  <c r="Y109" i="65" s="1"/>
  <c r="J111" i="65" s="1"/>
  <c r="J12" i="65"/>
  <c r="J28" i="65" s="1"/>
  <c r="J33" i="65" s="1"/>
  <c r="B90" i="65"/>
  <c r="I28" i="65"/>
  <c r="G33" i="65" s="1"/>
  <c r="E56" i="65" s="1"/>
  <c r="I57" i="65" s="1"/>
  <c r="S91" i="64"/>
  <c r="X91" i="64" s="1"/>
  <c r="J15" i="64"/>
  <c r="B91" i="64"/>
  <c r="I91" i="64" s="1"/>
  <c r="J12" i="64"/>
  <c r="I28" i="64"/>
  <c r="G33" i="64" s="1"/>
  <c r="E56" i="64" s="1"/>
  <c r="I57" i="64" s="1"/>
  <c r="B90" i="64"/>
  <c r="Y16" i="64"/>
  <c r="S92" i="64"/>
  <c r="X92" i="64" s="1"/>
  <c r="T28" i="64"/>
  <c r="X12" i="64"/>
  <c r="J16" i="64"/>
  <c r="B92" i="64"/>
  <c r="I92" i="64" s="1"/>
  <c r="E59" i="64"/>
  <c r="I60" i="64" s="1"/>
  <c r="I72" i="64" s="1"/>
  <c r="J72" i="64" s="1"/>
  <c r="E65" i="64"/>
  <c r="I66" i="64" s="1"/>
  <c r="I71" i="64" s="1"/>
  <c r="J71" i="64" s="1"/>
  <c r="E62" i="64"/>
  <c r="I63" i="64" s="1"/>
  <c r="I68" i="64" s="1"/>
  <c r="J68" i="64" s="1"/>
  <c r="E53" i="64"/>
  <c r="I54" i="64" s="1"/>
  <c r="J16" i="63"/>
  <c r="B92" i="63"/>
  <c r="I92" i="63" s="1"/>
  <c r="X12" i="63"/>
  <c r="T28" i="63"/>
  <c r="S91" i="63"/>
  <c r="X91" i="63" s="1"/>
  <c r="Y14" i="63"/>
  <c r="Y16" i="63"/>
  <c r="S92" i="63"/>
  <c r="X92" i="63" s="1"/>
  <c r="E59" i="63"/>
  <c r="I60" i="63" s="1"/>
  <c r="I72" i="63" s="1"/>
  <c r="J72" i="63" s="1"/>
  <c r="E65" i="63"/>
  <c r="I66" i="63" s="1"/>
  <c r="I71" i="63" s="1"/>
  <c r="J71" i="63" s="1"/>
  <c r="E53" i="63"/>
  <c r="I54" i="63" s="1"/>
  <c r="E62" i="63"/>
  <c r="I63" i="63" s="1"/>
  <c r="I68" i="63" s="1"/>
  <c r="J68" i="63" s="1"/>
  <c r="J12" i="63"/>
  <c r="I28" i="63"/>
  <c r="G33" i="63" s="1"/>
  <c r="E56" i="63" s="1"/>
  <c r="I57" i="63" s="1"/>
  <c r="B90" i="63"/>
  <c r="B91" i="63"/>
  <c r="I91" i="63" s="1"/>
  <c r="J14" i="63"/>
  <c r="S91" i="62"/>
  <c r="X91" i="62" s="1"/>
  <c r="E59" i="62"/>
  <c r="I60" i="62" s="1"/>
  <c r="I72" i="62" s="1"/>
  <c r="J72" i="62" s="1"/>
  <c r="E62" i="62"/>
  <c r="I63" i="62" s="1"/>
  <c r="I68" i="62" s="1"/>
  <c r="J68" i="62" s="1"/>
  <c r="E65" i="62"/>
  <c r="I66" i="62" s="1"/>
  <c r="I71" i="62" s="1"/>
  <c r="J71" i="62" s="1"/>
  <c r="E53" i="62"/>
  <c r="I54" i="62" s="1"/>
  <c r="Y16" i="62"/>
  <c r="S92" i="62"/>
  <c r="X92" i="62" s="1"/>
  <c r="X12" i="62"/>
  <c r="T28" i="62"/>
  <c r="J16" i="62"/>
  <c r="B92" i="62"/>
  <c r="I92" i="62" s="1"/>
  <c r="J12" i="62"/>
  <c r="I28" i="62"/>
  <c r="G33" i="62" s="1"/>
  <c r="E56" i="62" s="1"/>
  <c r="I57" i="62" s="1"/>
  <c r="B90" i="62"/>
  <c r="J15" i="62"/>
  <c r="B91" i="62"/>
  <c r="I91" i="62" s="1"/>
  <c r="I28" i="61"/>
  <c r="G33" i="61" s="1"/>
  <c r="E56" i="61" s="1"/>
  <c r="I57" i="61" s="1"/>
  <c r="J12" i="61"/>
  <c r="J28" i="61" s="1"/>
  <c r="J33" i="61" s="1"/>
  <c r="B90" i="61"/>
  <c r="E59" i="61"/>
  <c r="I60" i="61" s="1"/>
  <c r="I72" i="61" s="1"/>
  <c r="J72" i="61" s="1"/>
  <c r="E65" i="61"/>
  <c r="I66" i="61" s="1"/>
  <c r="I71" i="61" s="1"/>
  <c r="J71" i="61" s="1"/>
  <c r="E53" i="61"/>
  <c r="I54" i="61" s="1"/>
  <c r="E62" i="61"/>
  <c r="I63" i="61" s="1"/>
  <c r="I68" i="61" s="1"/>
  <c r="J68" i="61" s="1"/>
  <c r="X87" i="60"/>
  <c r="Y87" i="60" s="1"/>
  <c r="E59" i="60"/>
  <c r="I60" i="60" s="1"/>
  <c r="I72" i="60" s="1"/>
  <c r="J72" i="60" s="1"/>
  <c r="E53" i="60"/>
  <c r="I54" i="60" s="1"/>
  <c r="E62" i="60"/>
  <c r="I63" i="60" s="1"/>
  <c r="I68" i="60" s="1"/>
  <c r="J68" i="60" s="1"/>
  <c r="E65" i="60"/>
  <c r="I66" i="60" s="1"/>
  <c r="I71" i="60" s="1"/>
  <c r="J71" i="60" s="1"/>
  <c r="X86" i="60"/>
  <c r="Y86" i="60" s="1"/>
  <c r="X85" i="60"/>
  <c r="Y85" i="60" s="1"/>
  <c r="B90" i="60"/>
  <c r="J12" i="60"/>
  <c r="J28" i="60" s="1"/>
  <c r="J33" i="60" s="1"/>
  <c r="I28" i="60"/>
  <c r="G33" i="60" s="1"/>
  <c r="E56" i="60" s="1"/>
  <c r="I57" i="60" s="1"/>
  <c r="X90" i="60"/>
  <c r="Y93" i="60" s="1"/>
  <c r="S93" i="60"/>
  <c r="S91" i="59"/>
  <c r="X91" i="59" s="1"/>
  <c r="S92" i="59"/>
  <c r="X92" i="59" s="1"/>
  <c r="Y16" i="59"/>
  <c r="J16" i="59"/>
  <c r="B92" i="59"/>
  <c r="I92" i="59" s="1"/>
  <c r="J13" i="59"/>
  <c r="J28" i="59" s="1"/>
  <c r="J33" i="59" s="1"/>
  <c r="I28" i="59"/>
  <c r="G33" i="59" s="1"/>
  <c r="C56" i="59" s="1"/>
  <c r="I57" i="59" s="1"/>
  <c r="B90" i="59"/>
  <c r="C59" i="59"/>
  <c r="I60" i="59" s="1"/>
  <c r="I72" i="59" s="1"/>
  <c r="J72" i="59" s="1"/>
  <c r="C65" i="59"/>
  <c r="I66" i="59" s="1"/>
  <c r="I71" i="59" s="1"/>
  <c r="J71" i="59" s="1"/>
  <c r="C53" i="59"/>
  <c r="I54" i="59" s="1"/>
  <c r="C62" i="59"/>
  <c r="I63" i="59" s="1"/>
  <c r="I68" i="59" s="1"/>
  <c r="J68" i="59" s="1"/>
  <c r="T28" i="59"/>
  <c r="Y12" i="59"/>
  <c r="X28" i="59"/>
  <c r="V33" i="59" s="1"/>
  <c r="T55" i="59" s="1"/>
  <c r="X56" i="59" s="1"/>
  <c r="S90" i="59"/>
  <c r="B90" i="58"/>
  <c r="I28" i="58"/>
  <c r="G33" i="58" s="1"/>
  <c r="C56" i="58" s="1"/>
  <c r="I57" i="58" s="1"/>
  <c r="J12" i="58"/>
  <c r="J28" i="58" s="1"/>
  <c r="J33" i="58" s="1"/>
  <c r="Y36" i="58"/>
  <c r="Y37" i="58"/>
  <c r="C59" i="58"/>
  <c r="I60" i="58" s="1"/>
  <c r="I72" i="58" s="1"/>
  <c r="J72" i="58" s="1"/>
  <c r="C53" i="58"/>
  <c r="C62" i="58"/>
  <c r="I63" i="58" s="1"/>
  <c r="I68" i="58" s="1"/>
  <c r="J68" i="58" s="1"/>
  <c r="C65" i="58"/>
  <c r="I66" i="58" s="1"/>
  <c r="I71" i="58" s="1"/>
  <c r="J71" i="58" s="1"/>
  <c r="Y107" i="105" l="1"/>
  <c r="Y109" i="105" s="1"/>
  <c r="J111" i="105" s="1"/>
  <c r="T61" i="101"/>
  <c r="X62" i="101" s="1"/>
  <c r="X67" i="101" s="1"/>
  <c r="Y67" i="101" s="1"/>
  <c r="T58" i="101"/>
  <c r="X59" i="101" s="1"/>
  <c r="X71" i="101" s="1"/>
  <c r="Y71" i="101" s="1"/>
  <c r="T52" i="101"/>
  <c r="X53" i="101" s="1"/>
  <c r="T64" i="101"/>
  <c r="X65" i="101" s="1"/>
  <c r="X70" i="101" s="1"/>
  <c r="Y70" i="101" s="1"/>
  <c r="Y13" i="101"/>
  <c r="Y28" i="101" s="1"/>
  <c r="Y33" i="101" s="1"/>
  <c r="S90" i="101"/>
  <c r="X28" i="101"/>
  <c r="V33" i="101" s="1"/>
  <c r="T55" i="101" s="1"/>
  <c r="X56" i="101" s="1"/>
  <c r="Y107" i="93"/>
  <c r="Y109" i="93" s="1"/>
  <c r="J111" i="93" s="1"/>
  <c r="Y107" i="92"/>
  <c r="Y109" i="92" s="1"/>
  <c r="J111" i="92" s="1"/>
  <c r="Y13" i="76"/>
  <c r="Y28" i="76" s="1"/>
  <c r="Y33" i="76" s="1"/>
  <c r="S90" i="76"/>
  <c r="X28" i="76"/>
  <c r="V33" i="76" s="1"/>
  <c r="T55" i="76" s="1"/>
  <c r="X56" i="76" s="1"/>
  <c r="T58" i="76"/>
  <c r="X59" i="76" s="1"/>
  <c r="X71" i="76" s="1"/>
  <c r="Y71" i="76" s="1"/>
  <c r="T64" i="76"/>
  <c r="X65" i="76" s="1"/>
  <c r="X70" i="76" s="1"/>
  <c r="Y70" i="76" s="1"/>
  <c r="T52" i="76"/>
  <c r="X53" i="76" s="1"/>
  <c r="T61" i="76"/>
  <c r="X62" i="76" s="1"/>
  <c r="X67" i="76" s="1"/>
  <c r="Y67" i="76" s="1"/>
  <c r="X90" i="66"/>
  <c r="Y93" i="66" s="1"/>
  <c r="T58" i="66"/>
  <c r="X59" i="66" s="1"/>
  <c r="X71" i="66" s="1"/>
  <c r="Y71" i="66" s="1"/>
  <c r="T64" i="66"/>
  <c r="X65" i="66" s="1"/>
  <c r="X70" i="66" s="1"/>
  <c r="Y70" i="66" s="1"/>
  <c r="T52" i="66"/>
  <c r="X53" i="66" s="1"/>
  <c r="T61" i="66"/>
  <c r="X62" i="66" s="1"/>
  <c r="X67" i="66" s="1"/>
  <c r="Y67" i="66" s="1"/>
  <c r="E56" i="66"/>
  <c r="I57" i="66" s="1"/>
  <c r="T64" i="61"/>
  <c r="X65" i="61" s="1"/>
  <c r="X70" i="61" s="1"/>
  <c r="Y70" i="61" s="1"/>
  <c r="T58" i="61"/>
  <c r="X59" i="61" s="1"/>
  <c r="X71" i="61" s="1"/>
  <c r="Y71" i="61" s="1"/>
  <c r="T52" i="61"/>
  <c r="X53" i="61" s="1"/>
  <c r="T61" i="61"/>
  <c r="X62" i="61" s="1"/>
  <c r="X67" i="61" s="1"/>
  <c r="Y67" i="61" s="1"/>
  <c r="Y13" i="61"/>
  <c r="Y28" i="61" s="1"/>
  <c r="Y33" i="61" s="1"/>
  <c r="S90" i="61"/>
  <c r="X28" i="61"/>
  <c r="V33" i="61" s="1"/>
  <c r="T55" i="61" s="1"/>
  <c r="X56" i="61" s="1"/>
  <c r="Y28" i="59"/>
  <c r="Y33" i="59" s="1"/>
  <c r="T58" i="58"/>
  <c r="X59" i="58" s="1"/>
  <c r="X71" i="58" s="1"/>
  <c r="Y71" i="58" s="1"/>
  <c r="T52" i="58"/>
  <c r="X53" i="58" s="1"/>
  <c r="T61" i="58"/>
  <c r="X62" i="58" s="1"/>
  <c r="X67" i="58" s="1"/>
  <c r="Y67" i="58" s="1"/>
  <c r="T64" i="58"/>
  <c r="X65" i="58" s="1"/>
  <c r="X70" i="58" s="1"/>
  <c r="Y70" i="58" s="1"/>
  <c r="Y13" i="58"/>
  <c r="Y28" i="58" s="1"/>
  <c r="Y33" i="58" s="1"/>
  <c r="S90" i="58"/>
  <c r="X28" i="58"/>
  <c r="V33" i="58" s="1"/>
  <c r="T55" i="58" s="1"/>
  <c r="X56" i="58" s="1"/>
  <c r="I87" i="105"/>
  <c r="J87" i="105" s="1"/>
  <c r="I70" i="105"/>
  <c r="J70" i="105" s="1"/>
  <c r="B93" i="105"/>
  <c r="I90" i="105"/>
  <c r="J93" i="105" s="1"/>
  <c r="I86" i="105"/>
  <c r="J86" i="105" s="1"/>
  <c r="I85" i="105"/>
  <c r="J85" i="105" s="1"/>
  <c r="I86" i="104"/>
  <c r="J86" i="104" s="1"/>
  <c r="I85" i="104"/>
  <c r="J85" i="104" s="1"/>
  <c r="B93" i="104"/>
  <c r="I90" i="104"/>
  <c r="J93" i="104" s="1"/>
  <c r="I70" i="104"/>
  <c r="J70" i="104" s="1"/>
  <c r="I87" i="104"/>
  <c r="J87" i="104" s="1"/>
  <c r="I70" i="103"/>
  <c r="J70" i="103" s="1"/>
  <c r="I87" i="103"/>
  <c r="J87" i="103" s="1"/>
  <c r="B93" i="103"/>
  <c r="I90" i="103"/>
  <c r="J93" i="103" s="1"/>
  <c r="I86" i="103"/>
  <c r="J86" i="103" s="1"/>
  <c r="I85" i="103"/>
  <c r="J85" i="103" s="1"/>
  <c r="Y107" i="103"/>
  <c r="Y109" i="103" s="1"/>
  <c r="J111" i="103" s="1"/>
  <c r="J28" i="102"/>
  <c r="J33" i="102" s="1"/>
  <c r="I70" i="102"/>
  <c r="J70" i="102" s="1"/>
  <c r="I87" i="102"/>
  <c r="J87" i="102" s="1"/>
  <c r="Y12" i="102"/>
  <c r="Y28" i="102" s="1"/>
  <c r="Y33" i="102" s="1"/>
  <c r="X28" i="102"/>
  <c r="V33" i="102" s="1"/>
  <c r="T55" i="102" s="1"/>
  <c r="X56" i="102" s="1"/>
  <c r="S90" i="102"/>
  <c r="B93" i="102"/>
  <c r="I90" i="102"/>
  <c r="J93" i="102" s="1"/>
  <c r="T52" i="102"/>
  <c r="X53" i="102" s="1"/>
  <c r="T64" i="102"/>
  <c r="X65" i="102" s="1"/>
  <c r="X70" i="102" s="1"/>
  <c r="Y70" i="102" s="1"/>
  <c r="T58" i="102"/>
  <c r="X59" i="102" s="1"/>
  <c r="X71" i="102" s="1"/>
  <c r="Y71" i="102" s="1"/>
  <c r="T61" i="102"/>
  <c r="X62" i="102" s="1"/>
  <c r="X67" i="102" s="1"/>
  <c r="Y67" i="102" s="1"/>
  <c r="I86" i="102"/>
  <c r="J86" i="102" s="1"/>
  <c r="I85" i="102"/>
  <c r="J85" i="102" s="1"/>
  <c r="I85" i="101"/>
  <c r="J85" i="101" s="1"/>
  <c r="I86" i="101"/>
  <c r="J86" i="101" s="1"/>
  <c r="B93" i="101"/>
  <c r="I90" i="101"/>
  <c r="J93" i="101" s="1"/>
  <c r="I87" i="101"/>
  <c r="J87" i="101" s="1"/>
  <c r="I70" i="101"/>
  <c r="J70" i="101" s="1"/>
  <c r="I87" i="100"/>
  <c r="J87" i="100" s="1"/>
  <c r="I70" i="100"/>
  <c r="J70" i="100" s="1"/>
  <c r="I86" i="100"/>
  <c r="J86" i="100" s="1"/>
  <c r="I85" i="100"/>
  <c r="J85" i="100" s="1"/>
  <c r="B93" i="100"/>
  <c r="I90" i="100"/>
  <c r="J93" i="100" s="1"/>
  <c r="J107" i="100" s="1"/>
  <c r="I49" i="54" s="1"/>
  <c r="Q49" i="54" s="1"/>
  <c r="I86" i="99"/>
  <c r="J86" i="99" s="1"/>
  <c r="I85" i="99"/>
  <c r="J85" i="99" s="1"/>
  <c r="B93" i="99"/>
  <c r="I90" i="99"/>
  <c r="J93" i="99" s="1"/>
  <c r="I87" i="99"/>
  <c r="J87" i="99" s="1"/>
  <c r="I70" i="99"/>
  <c r="J70" i="99" s="1"/>
  <c r="I70" i="98"/>
  <c r="J70" i="98" s="1"/>
  <c r="I87" i="98"/>
  <c r="J87" i="98" s="1"/>
  <c r="I86" i="98"/>
  <c r="J86" i="98" s="1"/>
  <c r="I85" i="98"/>
  <c r="J85" i="98" s="1"/>
  <c r="B93" i="98"/>
  <c r="I90" i="98"/>
  <c r="J93" i="98" s="1"/>
  <c r="J107" i="98" s="1"/>
  <c r="I47" i="54" s="1"/>
  <c r="I86" i="97"/>
  <c r="J86" i="97" s="1"/>
  <c r="I85" i="97"/>
  <c r="J85" i="97" s="1"/>
  <c r="I70" i="97"/>
  <c r="J70" i="97" s="1"/>
  <c r="I87" i="97"/>
  <c r="J87" i="97" s="1"/>
  <c r="B93" i="97"/>
  <c r="I90" i="97"/>
  <c r="J93" i="97" s="1"/>
  <c r="J107" i="97" s="1"/>
  <c r="I70" i="96"/>
  <c r="J70" i="96" s="1"/>
  <c r="I87" i="96"/>
  <c r="J87" i="96" s="1"/>
  <c r="B93" i="96"/>
  <c r="I90" i="96"/>
  <c r="J93" i="96" s="1"/>
  <c r="I86" i="96"/>
  <c r="J86" i="96" s="1"/>
  <c r="I85" i="96"/>
  <c r="J85" i="96" s="1"/>
  <c r="Y107" i="95"/>
  <c r="Y109" i="95" s="1"/>
  <c r="J111" i="95" s="1"/>
  <c r="I86" i="95"/>
  <c r="J86" i="95" s="1"/>
  <c r="I85" i="95"/>
  <c r="J85" i="95" s="1"/>
  <c r="I87" i="95"/>
  <c r="J87" i="95" s="1"/>
  <c r="I70" i="95"/>
  <c r="J70" i="95" s="1"/>
  <c r="B93" i="95"/>
  <c r="I90" i="95"/>
  <c r="J93" i="95" s="1"/>
  <c r="J107" i="95" s="1"/>
  <c r="I44" i="54" s="1"/>
  <c r="Q44" i="54" s="1"/>
  <c r="Y107" i="94"/>
  <c r="Y109" i="94" s="1"/>
  <c r="J111" i="94" s="1"/>
  <c r="I70" i="94"/>
  <c r="J70" i="94" s="1"/>
  <c r="I87" i="94"/>
  <c r="J87" i="94" s="1"/>
  <c r="B93" i="94"/>
  <c r="I90" i="94"/>
  <c r="J93" i="94" s="1"/>
  <c r="I85" i="94"/>
  <c r="J85" i="94" s="1"/>
  <c r="I86" i="94"/>
  <c r="J86" i="94" s="1"/>
  <c r="I87" i="93"/>
  <c r="J87" i="93" s="1"/>
  <c r="I70" i="93"/>
  <c r="J70" i="93" s="1"/>
  <c r="B93" i="93"/>
  <c r="I90" i="93"/>
  <c r="J93" i="93" s="1"/>
  <c r="I86" i="93"/>
  <c r="J86" i="93" s="1"/>
  <c r="I85" i="93"/>
  <c r="J85" i="93" s="1"/>
  <c r="I87" i="92"/>
  <c r="J87" i="92" s="1"/>
  <c r="I70" i="92"/>
  <c r="J70" i="92" s="1"/>
  <c r="B93" i="92"/>
  <c r="I90" i="92"/>
  <c r="J93" i="92" s="1"/>
  <c r="I86" i="92"/>
  <c r="J86" i="92" s="1"/>
  <c r="I85" i="92"/>
  <c r="J85" i="92" s="1"/>
  <c r="I86" i="91"/>
  <c r="J86" i="91" s="1"/>
  <c r="I85" i="91"/>
  <c r="J85" i="91" s="1"/>
  <c r="B93" i="91"/>
  <c r="I90" i="91"/>
  <c r="J93" i="91" s="1"/>
  <c r="I70" i="91"/>
  <c r="J70" i="91" s="1"/>
  <c r="I87" i="91"/>
  <c r="J87" i="91" s="1"/>
  <c r="I86" i="90"/>
  <c r="J86" i="90" s="1"/>
  <c r="I85" i="90"/>
  <c r="J85" i="90" s="1"/>
  <c r="B93" i="90"/>
  <c r="I90" i="90"/>
  <c r="J93" i="90" s="1"/>
  <c r="I70" i="90"/>
  <c r="J70" i="90" s="1"/>
  <c r="I87" i="90"/>
  <c r="J87" i="90" s="1"/>
  <c r="I70" i="89"/>
  <c r="J70" i="89" s="1"/>
  <c r="I87" i="89"/>
  <c r="J87" i="89" s="1"/>
  <c r="I86" i="89"/>
  <c r="J86" i="89" s="1"/>
  <c r="I85" i="89"/>
  <c r="J85" i="89" s="1"/>
  <c r="B93" i="89"/>
  <c r="I90" i="89"/>
  <c r="J93" i="89" s="1"/>
  <c r="J107" i="89" s="1"/>
  <c r="I38" i="54" s="1"/>
  <c r="Q38" i="54" s="1"/>
  <c r="Y107" i="89"/>
  <c r="Y109" i="89" s="1"/>
  <c r="J111" i="89" s="1"/>
  <c r="I70" i="88"/>
  <c r="J70" i="88" s="1"/>
  <c r="I87" i="88"/>
  <c r="J87" i="88" s="1"/>
  <c r="I86" i="88"/>
  <c r="J86" i="88" s="1"/>
  <c r="I85" i="88"/>
  <c r="J85" i="88" s="1"/>
  <c r="B93" i="88"/>
  <c r="I90" i="88"/>
  <c r="J93" i="88" s="1"/>
  <c r="J107" i="88" s="1"/>
  <c r="I37" i="54" s="1"/>
  <c r="Q37" i="54" s="1"/>
  <c r="Y107" i="87"/>
  <c r="Y109" i="87" s="1"/>
  <c r="J111" i="87" s="1"/>
  <c r="I86" i="87"/>
  <c r="J86" i="87" s="1"/>
  <c r="I85" i="87"/>
  <c r="J85" i="87" s="1"/>
  <c r="I70" i="87"/>
  <c r="J70" i="87" s="1"/>
  <c r="I87" i="87"/>
  <c r="J87" i="87" s="1"/>
  <c r="B93" i="87"/>
  <c r="I90" i="87"/>
  <c r="J93" i="87" s="1"/>
  <c r="I70" i="86"/>
  <c r="J70" i="86" s="1"/>
  <c r="I87" i="86"/>
  <c r="J87" i="86" s="1"/>
  <c r="I86" i="86"/>
  <c r="J86" i="86" s="1"/>
  <c r="I85" i="86"/>
  <c r="J85" i="86" s="1"/>
  <c r="B93" i="86"/>
  <c r="I90" i="86"/>
  <c r="J93" i="86" s="1"/>
  <c r="Y107" i="85"/>
  <c r="Y109" i="85" s="1"/>
  <c r="J111" i="85" s="1"/>
  <c r="I86" i="85"/>
  <c r="J86" i="85" s="1"/>
  <c r="I85" i="85"/>
  <c r="J85" i="85" s="1"/>
  <c r="B93" i="85"/>
  <c r="I90" i="85"/>
  <c r="J93" i="85" s="1"/>
  <c r="I70" i="85"/>
  <c r="J70" i="85" s="1"/>
  <c r="I87" i="85"/>
  <c r="J87" i="85" s="1"/>
  <c r="B93" i="84"/>
  <c r="I90" i="84"/>
  <c r="J93" i="84" s="1"/>
  <c r="I70" i="84"/>
  <c r="J70" i="84" s="1"/>
  <c r="I87" i="84"/>
  <c r="J87" i="84" s="1"/>
  <c r="I86" i="84"/>
  <c r="J86" i="84" s="1"/>
  <c r="I85" i="84"/>
  <c r="J85" i="84" s="1"/>
  <c r="I70" i="83"/>
  <c r="J70" i="83" s="1"/>
  <c r="I87" i="83"/>
  <c r="J87" i="83" s="1"/>
  <c r="B93" i="82"/>
  <c r="I90" i="82"/>
  <c r="J93" i="82" s="1"/>
  <c r="I86" i="82"/>
  <c r="J86" i="82" s="1"/>
  <c r="I85" i="82"/>
  <c r="J85" i="82" s="1"/>
  <c r="I70" i="82"/>
  <c r="J70" i="82" s="1"/>
  <c r="I87" i="82"/>
  <c r="J87" i="82" s="1"/>
  <c r="I86" i="81"/>
  <c r="J86" i="81" s="1"/>
  <c r="I85" i="81"/>
  <c r="J85" i="81" s="1"/>
  <c r="B93" i="81"/>
  <c r="I90" i="81"/>
  <c r="J93" i="81" s="1"/>
  <c r="I70" i="81"/>
  <c r="J70" i="81" s="1"/>
  <c r="I87" i="81"/>
  <c r="J87" i="81" s="1"/>
  <c r="I70" i="80"/>
  <c r="J70" i="80" s="1"/>
  <c r="I87" i="80"/>
  <c r="J87" i="80" s="1"/>
  <c r="I86" i="80"/>
  <c r="J86" i="80" s="1"/>
  <c r="I85" i="80"/>
  <c r="J85" i="80" s="1"/>
  <c r="B93" i="80"/>
  <c r="I90" i="80"/>
  <c r="J93" i="80" s="1"/>
  <c r="Y107" i="79"/>
  <c r="Y109" i="79" s="1"/>
  <c r="J111" i="79" s="1"/>
  <c r="B93" i="79"/>
  <c r="I90" i="79"/>
  <c r="J93" i="79" s="1"/>
  <c r="I70" i="79"/>
  <c r="J70" i="79" s="1"/>
  <c r="I87" i="79"/>
  <c r="J87" i="79" s="1"/>
  <c r="I86" i="79"/>
  <c r="J86" i="79" s="1"/>
  <c r="I85" i="79"/>
  <c r="J85" i="79" s="1"/>
  <c r="B93" i="78"/>
  <c r="I90" i="78"/>
  <c r="J93" i="78" s="1"/>
  <c r="I70" i="78"/>
  <c r="J70" i="78" s="1"/>
  <c r="I87" i="78"/>
  <c r="J87" i="78" s="1"/>
  <c r="I86" i="78"/>
  <c r="J86" i="78" s="1"/>
  <c r="I85" i="78"/>
  <c r="J85" i="78" s="1"/>
  <c r="I70" i="77"/>
  <c r="J70" i="77" s="1"/>
  <c r="I87" i="77"/>
  <c r="J87" i="77" s="1"/>
  <c r="X28" i="77"/>
  <c r="V33" i="77" s="1"/>
  <c r="T55" i="77" s="1"/>
  <c r="X56" i="77" s="1"/>
  <c r="Y12" i="77"/>
  <c r="Y28" i="77" s="1"/>
  <c r="Y33" i="77" s="1"/>
  <c r="S90" i="77"/>
  <c r="B93" i="77"/>
  <c r="I90" i="77"/>
  <c r="J93" i="77" s="1"/>
  <c r="I86" i="77"/>
  <c r="J86" i="77" s="1"/>
  <c r="I85" i="77"/>
  <c r="J85" i="77" s="1"/>
  <c r="T58" i="77"/>
  <c r="X59" i="77" s="1"/>
  <c r="X71" i="77" s="1"/>
  <c r="Y71" i="77" s="1"/>
  <c r="T64" i="77"/>
  <c r="X65" i="77" s="1"/>
  <c r="X70" i="77" s="1"/>
  <c r="Y70" i="77" s="1"/>
  <c r="T52" i="77"/>
  <c r="X53" i="77" s="1"/>
  <c r="T61" i="77"/>
  <c r="X62" i="77" s="1"/>
  <c r="X67" i="77" s="1"/>
  <c r="Y67" i="77" s="1"/>
  <c r="J28" i="77"/>
  <c r="J33" i="77" s="1"/>
  <c r="B93" i="76"/>
  <c r="I90" i="76"/>
  <c r="J93" i="76" s="1"/>
  <c r="I70" i="76"/>
  <c r="J70" i="76" s="1"/>
  <c r="I87" i="76"/>
  <c r="J87" i="76" s="1"/>
  <c r="I86" i="76"/>
  <c r="J86" i="76" s="1"/>
  <c r="I85" i="76"/>
  <c r="J85" i="76" s="1"/>
  <c r="B93" i="75"/>
  <c r="I90" i="75"/>
  <c r="J93" i="75" s="1"/>
  <c r="I86" i="75"/>
  <c r="J86" i="75" s="1"/>
  <c r="I85" i="75"/>
  <c r="J85" i="75" s="1"/>
  <c r="I70" i="75"/>
  <c r="J70" i="75" s="1"/>
  <c r="I87" i="75"/>
  <c r="J87" i="75" s="1"/>
  <c r="I86" i="74"/>
  <c r="J86" i="74" s="1"/>
  <c r="I85" i="74"/>
  <c r="J85" i="74" s="1"/>
  <c r="B93" i="74"/>
  <c r="I90" i="74"/>
  <c r="J93" i="74" s="1"/>
  <c r="I87" i="74"/>
  <c r="J87" i="74" s="1"/>
  <c r="I70" i="74"/>
  <c r="J70" i="74" s="1"/>
  <c r="B93" i="73"/>
  <c r="I90" i="73"/>
  <c r="J93" i="73" s="1"/>
  <c r="I70" i="73"/>
  <c r="J70" i="73" s="1"/>
  <c r="I87" i="73"/>
  <c r="J87" i="73" s="1"/>
  <c r="I85" i="73"/>
  <c r="J85" i="73" s="1"/>
  <c r="I86" i="73"/>
  <c r="J86" i="73" s="1"/>
  <c r="B93" i="72"/>
  <c r="I90" i="72"/>
  <c r="J93" i="72" s="1"/>
  <c r="J107" i="72" s="1"/>
  <c r="I86" i="72"/>
  <c r="J86" i="72" s="1"/>
  <c r="I85" i="72"/>
  <c r="J85" i="72" s="1"/>
  <c r="I70" i="72"/>
  <c r="J70" i="72" s="1"/>
  <c r="I87" i="72"/>
  <c r="J87" i="72" s="1"/>
  <c r="Y107" i="71"/>
  <c r="Y109" i="71" s="1"/>
  <c r="J111" i="71" s="1"/>
  <c r="B93" i="71"/>
  <c r="I90" i="71"/>
  <c r="J93" i="71" s="1"/>
  <c r="I70" i="71"/>
  <c r="J70" i="71" s="1"/>
  <c r="I87" i="71"/>
  <c r="J87" i="71" s="1"/>
  <c r="I85" i="71"/>
  <c r="J85" i="71" s="1"/>
  <c r="I86" i="71"/>
  <c r="J86" i="71" s="1"/>
  <c r="Y107" i="70"/>
  <c r="Y109" i="70" s="1"/>
  <c r="J111" i="70" s="1"/>
  <c r="I70" i="70"/>
  <c r="J70" i="70" s="1"/>
  <c r="I87" i="70"/>
  <c r="J87" i="70" s="1"/>
  <c r="I86" i="70"/>
  <c r="J86" i="70" s="1"/>
  <c r="I85" i="70"/>
  <c r="J85" i="70" s="1"/>
  <c r="B93" i="70"/>
  <c r="I90" i="70"/>
  <c r="J93" i="70" s="1"/>
  <c r="J107" i="70" s="1"/>
  <c r="I19" i="54" s="1"/>
  <c r="Q19" i="54" s="1"/>
  <c r="T61" i="69"/>
  <c r="X62" i="69" s="1"/>
  <c r="X67" i="69" s="1"/>
  <c r="Y67" i="69" s="1"/>
  <c r="T58" i="69"/>
  <c r="X59" i="69" s="1"/>
  <c r="X71" i="69" s="1"/>
  <c r="Y71" i="69" s="1"/>
  <c r="T64" i="69"/>
  <c r="X65" i="69" s="1"/>
  <c r="X70" i="69" s="1"/>
  <c r="Y70" i="69" s="1"/>
  <c r="T52" i="69"/>
  <c r="X53" i="69" s="1"/>
  <c r="I86" i="69"/>
  <c r="J86" i="69" s="1"/>
  <c r="I85" i="69"/>
  <c r="J85" i="69" s="1"/>
  <c r="B93" i="69"/>
  <c r="I90" i="69"/>
  <c r="Y12" i="69"/>
  <c r="Y28" i="69" s="1"/>
  <c r="Y33" i="69" s="1"/>
  <c r="X28" i="69"/>
  <c r="V33" i="69" s="1"/>
  <c r="T55" i="69" s="1"/>
  <c r="X56" i="69" s="1"/>
  <c r="S90" i="69"/>
  <c r="J28" i="69"/>
  <c r="J33" i="69" s="1"/>
  <c r="I87" i="69"/>
  <c r="J87" i="69" s="1"/>
  <c r="I70" i="69"/>
  <c r="J70" i="69" s="1"/>
  <c r="J93" i="69"/>
  <c r="J107" i="69" s="1"/>
  <c r="I18" i="54" s="1"/>
  <c r="Q18" i="54" s="1"/>
  <c r="I87" i="68"/>
  <c r="J87" i="68" s="1"/>
  <c r="I70" i="68"/>
  <c r="J70" i="68" s="1"/>
  <c r="B93" i="68"/>
  <c r="I90" i="68"/>
  <c r="J93" i="68" s="1"/>
  <c r="T64" i="68"/>
  <c r="X65" i="68" s="1"/>
  <c r="X70" i="68" s="1"/>
  <c r="Y70" i="68" s="1"/>
  <c r="T58" i="68"/>
  <c r="X59" i="68" s="1"/>
  <c r="X71" i="68" s="1"/>
  <c r="Y71" i="68" s="1"/>
  <c r="T61" i="68"/>
  <c r="X62" i="68" s="1"/>
  <c r="X67" i="68" s="1"/>
  <c r="Y67" i="68" s="1"/>
  <c r="T52" i="68"/>
  <c r="X53" i="68" s="1"/>
  <c r="I86" i="68"/>
  <c r="J86" i="68" s="1"/>
  <c r="I85" i="68"/>
  <c r="J85" i="68" s="1"/>
  <c r="Y12" i="68"/>
  <c r="Y28" i="68" s="1"/>
  <c r="Y33" i="68" s="1"/>
  <c r="X28" i="68"/>
  <c r="V33" i="68" s="1"/>
  <c r="T55" i="68" s="1"/>
  <c r="X56" i="68" s="1"/>
  <c r="S90" i="68"/>
  <c r="J28" i="68"/>
  <c r="J33" i="68" s="1"/>
  <c r="T64" i="67"/>
  <c r="X65" i="67" s="1"/>
  <c r="X70" i="67" s="1"/>
  <c r="Y70" i="67" s="1"/>
  <c r="T52" i="67"/>
  <c r="X53" i="67" s="1"/>
  <c r="T58" i="67"/>
  <c r="X59" i="67" s="1"/>
  <c r="X71" i="67" s="1"/>
  <c r="Y71" i="67" s="1"/>
  <c r="T61" i="67"/>
  <c r="X62" i="67" s="1"/>
  <c r="X67" i="67" s="1"/>
  <c r="Y67" i="67" s="1"/>
  <c r="S90" i="67"/>
  <c r="Y12" i="67"/>
  <c r="Y28" i="67" s="1"/>
  <c r="Y33" i="67" s="1"/>
  <c r="X28" i="67"/>
  <c r="V33" i="67" s="1"/>
  <c r="T55" i="67" s="1"/>
  <c r="X56" i="67" s="1"/>
  <c r="I70" i="67"/>
  <c r="J70" i="67" s="1"/>
  <c r="I87" i="67"/>
  <c r="J87" i="67" s="1"/>
  <c r="J28" i="67"/>
  <c r="J33" i="67" s="1"/>
  <c r="I86" i="67"/>
  <c r="J86" i="67" s="1"/>
  <c r="I85" i="67"/>
  <c r="J85" i="67" s="1"/>
  <c r="B93" i="67"/>
  <c r="I90" i="67"/>
  <c r="J93" i="67"/>
  <c r="I70" i="66"/>
  <c r="J70" i="66" s="1"/>
  <c r="I87" i="66"/>
  <c r="J87" i="66" s="1"/>
  <c r="I86" i="65"/>
  <c r="J86" i="65" s="1"/>
  <c r="I85" i="65"/>
  <c r="J85" i="65" s="1"/>
  <c r="B93" i="65"/>
  <c r="I90" i="65"/>
  <c r="J93" i="65" s="1"/>
  <c r="I70" i="65"/>
  <c r="J70" i="65" s="1"/>
  <c r="I87" i="65"/>
  <c r="J87" i="65" s="1"/>
  <c r="T52" i="64"/>
  <c r="X53" i="64" s="1"/>
  <c r="T58" i="64"/>
  <c r="X59" i="64" s="1"/>
  <c r="X71" i="64" s="1"/>
  <c r="Y71" i="64" s="1"/>
  <c r="T64" i="64"/>
  <c r="X65" i="64" s="1"/>
  <c r="X70" i="64" s="1"/>
  <c r="Y70" i="64" s="1"/>
  <c r="T61" i="64"/>
  <c r="X62" i="64" s="1"/>
  <c r="X67" i="64" s="1"/>
  <c r="Y67" i="64" s="1"/>
  <c r="J28" i="64"/>
  <c r="J33" i="64" s="1"/>
  <c r="I70" i="64"/>
  <c r="J70" i="64" s="1"/>
  <c r="I87" i="64"/>
  <c r="J87" i="64" s="1"/>
  <c r="B93" i="64"/>
  <c r="I90" i="64"/>
  <c r="J93" i="64" s="1"/>
  <c r="X28" i="64"/>
  <c r="V33" i="64" s="1"/>
  <c r="T55" i="64" s="1"/>
  <c r="X56" i="64" s="1"/>
  <c r="S90" i="64"/>
  <c r="Y12" i="64"/>
  <c r="Y28" i="64" s="1"/>
  <c r="Y33" i="64" s="1"/>
  <c r="I86" i="64"/>
  <c r="J86" i="64" s="1"/>
  <c r="I85" i="64"/>
  <c r="J85" i="64" s="1"/>
  <c r="J28" i="63"/>
  <c r="J33" i="63" s="1"/>
  <c r="I70" i="63"/>
  <c r="J70" i="63" s="1"/>
  <c r="I87" i="63"/>
  <c r="J87" i="63" s="1"/>
  <c r="I86" i="63"/>
  <c r="J86" i="63" s="1"/>
  <c r="I85" i="63"/>
  <c r="J85" i="63" s="1"/>
  <c r="Y12" i="63"/>
  <c r="Y28" i="63" s="1"/>
  <c r="Y33" i="63" s="1"/>
  <c r="X28" i="63"/>
  <c r="V33" i="63" s="1"/>
  <c r="T55" i="63" s="1"/>
  <c r="X56" i="63" s="1"/>
  <c r="S90" i="63"/>
  <c r="B93" i="63"/>
  <c r="I90" i="63"/>
  <c r="T58" i="63"/>
  <c r="X59" i="63" s="1"/>
  <c r="X71" i="63" s="1"/>
  <c r="Y71" i="63" s="1"/>
  <c r="T64" i="63"/>
  <c r="X65" i="63" s="1"/>
  <c r="X70" i="63" s="1"/>
  <c r="Y70" i="63" s="1"/>
  <c r="T52" i="63"/>
  <c r="X53" i="63" s="1"/>
  <c r="T61" i="63"/>
  <c r="X62" i="63" s="1"/>
  <c r="X67" i="63" s="1"/>
  <c r="Y67" i="63" s="1"/>
  <c r="J93" i="63"/>
  <c r="T64" i="62"/>
  <c r="X65" i="62" s="1"/>
  <c r="X70" i="62" s="1"/>
  <c r="Y70" i="62" s="1"/>
  <c r="T52" i="62"/>
  <c r="X53" i="62" s="1"/>
  <c r="T61" i="62"/>
  <c r="X62" i="62" s="1"/>
  <c r="X67" i="62" s="1"/>
  <c r="Y67" i="62" s="1"/>
  <c r="T58" i="62"/>
  <c r="X59" i="62" s="1"/>
  <c r="X71" i="62" s="1"/>
  <c r="Y71" i="62" s="1"/>
  <c r="B93" i="62"/>
  <c r="I90" i="62"/>
  <c r="J93" i="62" s="1"/>
  <c r="J28" i="62"/>
  <c r="J33" i="62" s="1"/>
  <c r="Y12" i="62"/>
  <c r="Y28" i="62" s="1"/>
  <c r="Y33" i="62" s="1"/>
  <c r="X28" i="62"/>
  <c r="V33" i="62" s="1"/>
  <c r="T55" i="62" s="1"/>
  <c r="X56" i="62" s="1"/>
  <c r="S90" i="62"/>
  <c r="I86" i="62"/>
  <c r="J86" i="62" s="1"/>
  <c r="I85" i="62"/>
  <c r="J85" i="62" s="1"/>
  <c r="I70" i="62"/>
  <c r="J70" i="62" s="1"/>
  <c r="I87" i="62"/>
  <c r="J87" i="62" s="1"/>
  <c r="I70" i="61"/>
  <c r="J70" i="61" s="1"/>
  <c r="I87" i="61"/>
  <c r="J87" i="61" s="1"/>
  <c r="I86" i="61"/>
  <c r="J86" i="61" s="1"/>
  <c r="I85" i="61"/>
  <c r="J85" i="61" s="1"/>
  <c r="B93" i="61"/>
  <c r="I90" i="61"/>
  <c r="J93" i="61" s="1"/>
  <c r="J107" i="61" s="1"/>
  <c r="I10" i="54" s="1"/>
  <c r="Q10" i="54" s="1"/>
  <c r="Y107" i="60"/>
  <c r="Y109" i="60" s="1"/>
  <c r="J111" i="60" s="1"/>
  <c r="I86" i="60"/>
  <c r="J86" i="60" s="1"/>
  <c r="I85" i="60"/>
  <c r="J85" i="60" s="1"/>
  <c r="B93" i="60"/>
  <c r="I90" i="60"/>
  <c r="J93" i="60" s="1"/>
  <c r="I70" i="60"/>
  <c r="J70" i="60" s="1"/>
  <c r="I87" i="60"/>
  <c r="J87" i="60" s="1"/>
  <c r="X86" i="59"/>
  <c r="Y86" i="59" s="1"/>
  <c r="X85" i="59"/>
  <c r="Y85" i="59" s="1"/>
  <c r="S93" i="59"/>
  <c r="X90" i="59"/>
  <c r="Y93" i="59" s="1"/>
  <c r="T58" i="59"/>
  <c r="X59" i="59" s="1"/>
  <c r="X71" i="59" s="1"/>
  <c r="Y71" i="59" s="1"/>
  <c r="T52" i="59"/>
  <c r="X53" i="59" s="1"/>
  <c r="T64" i="59"/>
  <c r="X65" i="59" s="1"/>
  <c r="X70" i="59" s="1"/>
  <c r="Y70" i="59" s="1"/>
  <c r="T61" i="59"/>
  <c r="X62" i="59" s="1"/>
  <c r="X67" i="59" s="1"/>
  <c r="Y67" i="59" s="1"/>
  <c r="I70" i="59"/>
  <c r="J70" i="59" s="1"/>
  <c r="I87" i="59"/>
  <c r="J87" i="59" s="1"/>
  <c r="B93" i="59"/>
  <c r="I90" i="59"/>
  <c r="I86" i="59"/>
  <c r="J86" i="59" s="1"/>
  <c r="I85" i="59"/>
  <c r="J85" i="59" s="1"/>
  <c r="J93" i="59"/>
  <c r="J107" i="59" s="1"/>
  <c r="I8" i="54" s="1"/>
  <c r="Q8" i="54" s="1"/>
  <c r="Y38" i="58"/>
  <c r="B93" i="58"/>
  <c r="I90" i="58"/>
  <c r="J93" i="58" s="1"/>
  <c r="I70" i="58"/>
  <c r="J70" i="58" s="1"/>
  <c r="I87" i="58"/>
  <c r="J87" i="58" s="1"/>
  <c r="I86" i="58"/>
  <c r="J86" i="58" s="1"/>
  <c r="I85" i="58"/>
  <c r="J85" i="58" s="1"/>
  <c r="X87" i="101" l="1"/>
  <c r="Y87" i="101" s="1"/>
  <c r="X69" i="101"/>
  <c r="Y69" i="101" s="1"/>
  <c r="S93" i="101"/>
  <c r="X90" i="101"/>
  <c r="Y93" i="101" s="1"/>
  <c r="X85" i="101"/>
  <c r="Y85" i="101" s="1"/>
  <c r="X86" i="101"/>
  <c r="Y86" i="101" s="1"/>
  <c r="J107" i="87"/>
  <c r="I36" i="54" s="1"/>
  <c r="Q36" i="54" s="1"/>
  <c r="J107" i="81"/>
  <c r="I30" i="54" s="1"/>
  <c r="Q30" i="54" s="1"/>
  <c r="X87" i="76"/>
  <c r="Y87" i="76" s="1"/>
  <c r="X69" i="76"/>
  <c r="Y69" i="76" s="1"/>
  <c r="X85" i="76"/>
  <c r="Y85" i="76" s="1"/>
  <c r="X86" i="76"/>
  <c r="Y86" i="76" s="1"/>
  <c r="X90" i="76"/>
  <c r="Y93" i="76" s="1"/>
  <c r="Y107" i="76" s="1"/>
  <c r="Y109" i="76" s="1"/>
  <c r="J111" i="76" s="1"/>
  <c r="S93" i="76"/>
  <c r="I21" i="54"/>
  <c r="Q21" i="54" s="1"/>
  <c r="J109" i="72"/>
  <c r="J21" i="54" s="1"/>
  <c r="J107" i="67"/>
  <c r="I16" i="54" s="1"/>
  <c r="Q16" i="54" s="1"/>
  <c r="I86" i="66"/>
  <c r="J86" i="66" s="1"/>
  <c r="I85" i="66"/>
  <c r="J85" i="66" s="1"/>
  <c r="J107" i="66"/>
  <c r="I15" i="54" s="1"/>
  <c r="Q15" i="54" s="1"/>
  <c r="X69" i="66"/>
  <c r="Y69" i="66" s="1"/>
  <c r="Y107" i="66" s="1"/>
  <c r="Y109" i="66" s="1"/>
  <c r="J111" i="66" s="1"/>
  <c r="X87" i="66"/>
  <c r="Y87" i="66" s="1"/>
  <c r="X85" i="61"/>
  <c r="Y85" i="61" s="1"/>
  <c r="X86" i="61"/>
  <c r="Y86" i="61" s="1"/>
  <c r="X87" i="61"/>
  <c r="Y87" i="61" s="1"/>
  <c r="X69" i="61"/>
  <c r="Y69" i="61" s="1"/>
  <c r="X90" i="61"/>
  <c r="Y93" i="61" s="1"/>
  <c r="Y107" i="61" s="1"/>
  <c r="Y109" i="61" s="1"/>
  <c r="J111" i="61" s="1"/>
  <c r="S93" i="61"/>
  <c r="X86" i="58"/>
  <c r="Y86" i="58" s="1"/>
  <c r="X85" i="58"/>
  <c r="Y85" i="58" s="1"/>
  <c r="X90" i="58"/>
  <c r="Y93" i="58" s="1"/>
  <c r="S93" i="58"/>
  <c r="X87" i="58"/>
  <c r="Y87" i="58" s="1"/>
  <c r="X69" i="58"/>
  <c r="Y69" i="58" s="1"/>
  <c r="J107" i="105"/>
  <c r="I54" i="54" s="1"/>
  <c r="Q54" i="54" s="1"/>
  <c r="J107" i="104"/>
  <c r="I53" i="54" s="1"/>
  <c r="J107" i="103"/>
  <c r="I52" i="54" s="1"/>
  <c r="J107" i="102"/>
  <c r="I51" i="54" s="1"/>
  <c r="X90" i="102"/>
  <c r="Y93" i="102" s="1"/>
  <c r="S93" i="102"/>
  <c r="X86" i="102"/>
  <c r="Y86" i="102" s="1"/>
  <c r="X85" i="102"/>
  <c r="Y85" i="102" s="1"/>
  <c r="X87" i="102"/>
  <c r="Y87" i="102" s="1"/>
  <c r="X69" i="102"/>
  <c r="Y69" i="102" s="1"/>
  <c r="J107" i="101"/>
  <c r="I50" i="54" s="1"/>
  <c r="Q50" i="54" s="1"/>
  <c r="J109" i="100"/>
  <c r="J107" i="99"/>
  <c r="J109" i="98"/>
  <c r="J109" i="97"/>
  <c r="I114" i="97" s="1"/>
  <c r="J107" i="96"/>
  <c r="I45" i="54" s="1"/>
  <c r="Q45" i="54" s="1"/>
  <c r="J109" i="95"/>
  <c r="J107" i="94"/>
  <c r="I43" i="54" s="1"/>
  <c r="Q43" i="54" s="1"/>
  <c r="J107" i="93"/>
  <c r="I42" i="54" s="1"/>
  <c r="Q42" i="54" s="1"/>
  <c r="J107" i="92"/>
  <c r="I41" i="54" s="1"/>
  <c r="Q41" i="54" s="1"/>
  <c r="J107" i="91"/>
  <c r="I40" i="54" s="1"/>
  <c r="Q40" i="54" s="1"/>
  <c r="J107" i="90"/>
  <c r="I39" i="54" s="1"/>
  <c r="Q39" i="54" s="1"/>
  <c r="J109" i="89"/>
  <c r="J109" i="88"/>
  <c r="J109" i="87"/>
  <c r="J107" i="86"/>
  <c r="I35" i="54" s="1"/>
  <c r="Q35" i="54" s="1"/>
  <c r="J107" i="85"/>
  <c r="I34" i="54" s="1"/>
  <c r="Q34" i="54" s="1"/>
  <c r="J107" i="84"/>
  <c r="J107" i="83"/>
  <c r="J107" i="82"/>
  <c r="I31" i="54" s="1"/>
  <c r="Q31" i="54" s="1"/>
  <c r="J107" i="80"/>
  <c r="J107" i="79"/>
  <c r="I28" i="54" s="1"/>
  <c r="Q28" i="54" s="1"/>
  <c r="J107" i="78"/>
  <c r="I27" i="54" s="1"/>
  <c r="Q27" i="54" s="1"/>
  <c r="S93" i="77"/>
  <c r="X90" i="77"/>
  <c r="Y93" i="77" s="1"/>
  <c r="J107" i="77"/>
  <c r="I26" i="54" s="1"/>
  <c r="Q26" i="54" s="1"/>
  <c r="X86" i="77"/>
  <c r="Y86" i="77" s="1"/>
  <c r="X85" i="77"/>
  <c r="Y85" i="77" s="1"/>
  <c r="X87" i="77"/>
  <c r="Y87" i="77" s="1"/>
  <c r="X69" i="77"/>
  <c r="Y69" i="77" s="1"/>
  <c r="J107" i="76"/>
  <c r="I25" i="54" s="1"/>
  <c r="Q25" i="54" s="1"/>
  <c r="J107" i="75"/>
  <c r="I24" i="54" s="1"/>
  <c r="Q24" i="54" s="1"/>
  <c r="J107" i="74"/>
  <c r="I23" i="54" s="1"/>
  <c r="Q23" i="54" s="1"/>
  <c r="J107" i="73"/>
  <c r="I22" i="54" s="1"/>
  <c r="Q22" i="54" s="1"/>
  <c r="J107" i="71"/>
  <c r="J109" i="70"/>
  <c r="J109" i="69"/>
  <c r="J18" i="54" s="1"/>
  <c r="X90" i="69"/>
  <c r="Y93" i="69" s="1"/>
  <c r="S93" i="69"/>
  <c r="X86" i="69"/>
  <c r="Y86" i="69" s="1"/>
  <c r="X85" i="69"/>
  <c r="Y85" i="69" s="1"/>
  <c r="X87" i="69"/>
  <c r="Y87" i="69" s="1"/>
  <c r="X69" i="69"/>
  <c r="Y69" i="69" s="1"/>
  <c r="J107" i="68"/>
  <c r="X90" i="68"/>
  <c r="Y93" i="68" s="1"/>
  <c r="S93" i="68"/>
  <c r="X69" i="68"/>
  <c r="Y69" i="68" s="1"/>
  <c r="X87" i="68"/>
  <c r="Y87" i="68" s="1"/>
  <c r="X86" i="68"/>
  <c r="Y86" i="68" s="1"/>
  <c r="X85" i="68"/>
  <c r="Y85" i="68" s="1"/>
  <c r="X86" i="67"/>
  <c r="Y86" i="67" s="1"/>
  <c r="X85" i="67"/>
  <c r="Y85" i="67" s="1"/>
  <c r="X90" i="67"/>
  <c r="Y93" i="67" s="1"/>
  <c r="S93" i="67"/>
  <c r="J109" i="67"/>
  <c r="J16" i="54" s="1"/>
  <c r="X87" i="67"/>
  <c r="Y87" i="67" s="1"/>
  <c r="X69" i="67"/>
  <c r="Y69" i="67" s="1"/>
  <c r="J109" i="66"/>
  <c r="J107" i="65"/>
  <c r="I14" i="54" s="1"/>
  <c r="Q14" i="54" s="1"/>
  <c r="J107" i="64"/>
  <c r="X90" i="64"/>
  <c r="Y93" i="64" s="1"/>
  <c r="S93" i="64"/>
  <c r="X87" i="64"/>
  <c r="Y87" i="64" s="1"/>
  <c r="X69" i="64"/>
  <c r="Y69" i="64" s="1"/>
  <c r="X86" i="64"/>
  <c r="Y86" i="64" s="1"/>
  <c r="X85" i="64"/>
  <c r="Y85" i="64" s="1"/>
  <c r="J107" i="63"/>
  <c r="X69" i="63"/>
  <c r="Y69" i="63" s="1"/>
  <c r="X87" i="63"/>
  <c r="Y87" i="63" s="1"/>
  <c r="X86" i="63"/>
  <c r="Y86" i="63" s="1"/>
  <c r="X85" i="63"/>
  <c r="Y85" i="63" s="1"/>
  <c r="S93" i="63"/>
  <c r="X90" i="63"/>
  <c r="Y93" i="63" s="1"/>
  <c r="J107" i="62"/>
  <c r="X90" i="62"/>
  <c r="Y93" i="62" s="1"/>
  <c r="S93" i="62"/>
  <c r="X86" i="62"/>
  <c r="Y86" i="62" s="1"/>
  <c r="X85" i="62"/>
  <c r="Y85" i="62" s="1"/>
  <c r="X87" i="62"/>
  <c r="Y87" i="62" s="1"/>
  <c r="X69" i="62"/>
  <c r="Y69" i="62" s="1"/>
  <c r="J109" i="61"/>
  <c r="J109" i="59"/>
  <c r="J8" i="54" s="1"/>
  <c r="J107" i="60"/>
  <c r="X87" i="59"/>
  <c r="Y87" i="59" s="1"/>
  <c r="X69" i="59"/>
  <c r="Y69" i="59" s="1"/>
  <c r="Y107" i="59" s="1"/>
  <c r="Y109" i="59" s="1"/>
  <c r="J107" i="58"/>
  <c r="I114" i="88" l="1"/>
  <c r="J114" i="88" s="1"/>
  <c r="K37" i="54" s="1"/>
  <c r="J37" i="54"/>
  <c r="I114" i="89"/>
  <c r="J38" i="54"/>
  <c r="Q52" i="54"/>
  <c r="Q53" i="54"/>
  <c r="J109" i="102"/>
  <c r="J51" i="54" s="1"/>
  <c r="Y107" i="101"/>
  <c r="Y109" i="101" s="1"/>
  <c r="I114" i="100"/>
  <c r="J49" i="54"/>
  <c r="J109" i="99"/>
  <c r="I48" i="54"/>
  <c r="Q48" i="54" s="1"/>
  <c r="I114" i="98"/>
  <c r="J47" i="54"/>
  <c r="I114" i="95"/>
  <c r="J44" i="54"/>
  <c r="I114" i="87"/>
  <c r="J36" i="54"/>
  <c r="J109" i="83"/>
  <c r="I32" i="54"/>
  <c r="Q32" i="54" s="1"/>
  <c r="J109" i="80"/>
  <c r="I29" i="54"/>
  <c r="Q29" i="54" s="1"/>
  <c r="I114" i="70"/>
  <c r="J19" i="54"/>
  <c r="J109" i="68"/>
  <c r="J17" i="54" s="1"/>
  <c r="I17" i="54"/>
  <c r="Q17" i="54" s="1"/>
  <c r="I114" i="66"/>
  <c r="J15" i="54"/>
  <c r="J109" i="64"/>
  <c r="J13" i="54" s="1"/>
  <c r="I13" i="54"/>
  <c r="Q13" i="54" s="1"/>
  <c r="J109" i="63"/>
  <c r="J12" i="54" s="1"/>
  <c r="I12" i="54"/>
  <c r="Q12" i="54" s="1"/>
  <c r="J109" i="62"/>
  <c r="J11" i="54" s="1"/>
  <c r="I11" i="54"/>
  <c r="I114" i="61"/>
  <c r="K10" i="54" s="1"/>
  <c r="J10" i="54"/>
  <c r="I9" i="54"/>
  <c r="Q9" i="54" s="1"/>
  <c r="J109" i="60"/>
  <c r="J9" i="54" s="1"/>
  <c r="Y107" i="58"/>
  <c r="Y109" i="58" s="1"/>
  <c r="J111" i="58" s="1"/>
  <c r="J109" i="58"/>
  <c r="I7" i="54"/>
  <c r="I114" i="80"/>
  <c r="J29" i="54"/>
  <c r="J109" i="105"/>
  <c r="J109" i="104"/>
  <c r="J109" i="103"/>
  <c r="Y107" i="102"/>
  <c r="Y109" i="102" s="1"/>
  <c r="J111" i="102" s="1"/>
  <c r="I114" i="102" s="1"/>
  <c r="J109" i="101"/>
  <c r="J114" i="100"/>
  <c r="J114" i="98"/>
  <c r="J114" i="97"/>
  <c r="J116" i="97" s="1"/>
  <c r="J120" i="97" s="1"/>
  <c r="J109" i="96"/>
  <c r="J114" i="95"/>
  <c r="J109" i="94"/>
  <c r="J109" i="93"/>
  <c r="J109" i="92"/>
  <c r="J109" i="91"/>
  <c r="J109" i="90"/>
  <c r="J114" i="89"/>
  <c r="K38" i="54" s="1"/>
  <c r="J114" i="87"/>
  <c r="J109" i="86"/>
  <c r="J109" i="85"/>
  <c r="J109" i="84"/>
  <c r="I114" i="84" s="1"/>
  <c r="J109" i="82"/>
  <c r="J109" i="81"/>
  <c r="J114" i="80"/>
  <c r="J109" i="79"/>
  <c r="J109" i="78"/>
  <c r="Y107" i="77"/>
  <c r="Y109" i="77" s="1"/>
  <c r="J109" i="77"/>
  <c r="J26" i="54" s="1"/>
  <c r="J109" i="76"/>
  <c r="J109" i="75"/>
  <c r="J109" i="74"/>
  <c r="J109" i="73"/>
  <c r="I114" i="72"/>
  <c r="J109" i="71"/>
  <c r="I114" i="71" s="1"/>
  <c r="Y107" i="69"/>
  <c r="Y109" i="69" s="1"/>
  <c r="J111" i="69" s="1"/>
  <c r="I114" i="69" s="1"/>
  <c r="Y107" i="68"/>
  <c r="Y109" i="68" s="1"/>
  <c r="J111" i="68" s="1"/>
  <c r="I114" i="68" s="1"/>
  <c r="Y107" i="67"/>
  <c r="Y109" i="67" s="1"/>
  <c r="J111" i="67" s="1"/>
  <c r="J114" i="66"/>
  <c r="J109" i="65"/>
  <c r="Y107" i="64"/>
  <c r="Y109" i="64" s="1"/>
  <c r="J111" i="64" s="1"/>
  <c r="I114" i="64" s="1"/>
  <c r="Y107" i="63"/>
  <c r="Y109" i="63" s="1"/>
  <c r="J111" i="63" s="1"/>
  <c r="Y107" i="62"/>
  <c r="Y109" i="62" s="1"/>
  <c r="I114" i="60"/>
  <c r="J114" i="60" s="1"/>
  <c r="I114" i="59"/>
  <c r="J114" i="59" s="1"/>
  <c r="K8" i="54" s="1"/>
  <c r="J111" i="59"/>
  <c r="J116" i="88" l="1"/>
  <c r="J120" i="61"/>
  <c r="J124" i="61" s="1"/>
  <c r="J120" i="88"/>
  <c r="J124" i="88" s="1"/>
  <c r="L37" i="54"/>
  <c r="S37" i="54" s="1"/>
  <c r="U37" i="54" s="1"/>
  <c r="W37" i="54" s="1"/>
  <c r="F37" i="54"/>
  <c r="R37" i="54"/>
  <c r="G37" i="54"/>
  <c r="G38" i="54"/>
  <c r="F38" i="54"/>
  <c r="R38" i="54"/>
  <c r="I114" i="103"/>
  <c r="J114" i="103" s="1"/>
  <c r="J52" i="54"/>
  <c r="I114" i="104"/>
  <c r="J114" i="104" s="1"/>
  <c r="J53" i="54"/>
  <c r="I114" i="101"/>
  <c r="J50" i="54"/>
  <c r="J116" i="100"/>
  <c r="K49" i="54"/>
  <c r="I114" i="99"/>
  <c r="J114" i="99" s="1"/>
  <c r="J126" i="99" s="1"/>
  <c r="J48" i="54"/>
  <c r="J116" i="98"/>
  <c r="K47" i="54"/>
  <c r="I114" i="96"/>
  <c r="J45" i="54"/>
  <c r="J116" i="95"/>
  <c r="K44" i="54"/>
  <c r="I114" i="94"/>
  <c r="J43" i="54"/>
  <c r="I114" i="93"/>
  <c r="J42" i="54"/>
  <c r="I114" i="92"/>
  <c r="J41" i="54"/>
  <c r="I114" i="91"/>
  <c r="J40" i="54"/>
  <c r="I114" i="90"/>
  <c r="J39" i="54"/>
  <c r="J116" i="87"/>
  <c r="K36" i="54"/>
  <c r="I114" i="86"/>
  <c r="J35" i="54"/>
  <c r="I114" i="85"/>
  <c r="J114" i="85" s="1"/>
  <c r="J34" i="54"/>
  <c r="I114" i="83"/>
  <c r="J114" i="83" s="1"/>
  <c r="J126" i="83" s="1"/>
  <c r="J32" i="54"/>
  <c r="I114" i="81"/>
  <c r="J114" i="81" s="1"/>
  <c r="J30" i="54"/>
  <c r="I114" i="79"/>
  <c r="J114" i="79" s="1"/>
  <c r="J28" i="54"/>
  <c r="I114" i="78"/>
  <c r="J27" i="54"/>
  <c r="I114" i="75"/>
  <c r="J114" i="75" s="1"/>
  <c r="K24" i="54" s="1"/>
  <c r="J24" i="54"/>
  <c r="I114" i="74"/>
  <c r="J23" i="54"/>
  <c r="I114" i="73"/>
  <c r="J22" i="54"/>
  <c r="J116" i="70"/>
  <c r="K19" i="54"/>
  <c r="J116" i="66"/>
  <c r="K15" i="54"/>
  <c r="I114" i="65"/>
  <c r="J14" i="54"/>
  <c r="J116" i="60"/>
  <c r="K9" i="54"/>
  <c r="I114" i="58"/>
  <c r="J114" i="58" s="1"/>
  <c r="J7" i="54"/>
  <c r="I114" i="105"/>
  <c r="J114" i="105" s="1"/>
  <c r="J54" i="54"/>
  <c r="I114" i="82"/>
  <c r="J114" i="82" s="1"/>
  <c r="J31" i="54"/>
  <c r="J116" i="80"/>
  <c r="K29" i="54"/>
  <c r="I114" i="76"/>
  <c r="J114" i="76" s="1"/>
  <c r="J25" i="54"/>
  <c r="R8" i="54"/>
  <c r="F8" i="54"/>
  <c r="G8" i="54"/>
  <c r="J114" i="102"/>
  <c r="J126" i="102" s="1"/>
  <c r="J114" i="101"/>
  <c r="J126" i="100"/>
  <c r="J126" i="98"/>
  <c r="J126" i="97"/>
  <c r="J114" i="96"/>
  <c r="J126" i="95"/>
  <c r="J114" i="94"/>
  <c r="J114" i="93"/>
  <c r="J114" i="92"/>
  <c r="J114" i="91"/>
  <c r="J116" i="89"/>
  <c r="J114" i="90"/>
  <c r="J126" i="89"/>
  <c r="J126" i="87"/>
  <c r="J114" i="86"/>
  <c r="J114" i="84"/>
  <c r="J116" i="84" s="1"/>
  <c r="J120" i="84" s="1"/>
  <c r="J124" i="84" s="1"/>
  <c r="J126" i="80"/>
  <c r="J114" i="78"/>
  <c r="I114" i="77"/>
  <c r="J114" i="77" s="1"/>
  <c r="J111" i="77"/>
  <c r="J116" i="75"/>
  <c r="J114" i="74"/>
  <c r="J114" i="73"/>
  <c r="J114" i="72"/>
  <c r="J114" i="71"/>
  <c r="J116" i="71" s="1"/>
  <c r="J120" i="71" s="1"/>
  <c r="J124" i="71" s="1"/>
  <c r="J126" i="70"/>
  <c r="I114" i="67"/>
  <c r="J114" i="67" s="1"/>
  <c r="J126" i="66"/>
  <c r="J114" i="65"/>
  <c r="J114" i="64"/>
  <c r="I114" i="63"/>
  <c r="J111" i="62"/>
  <c r="I114" i="62" s="1"/>
  <c r="J114" i="62" s="1"/>
  <c r="J126" i="61"/>
  <c r="J116" i="59"/>
  <c r="J120" i="60"/>
  <c r="M37" i="54" l="1"/>
  <c r="E298" i="106"/>
  <c r="G298" i="106" s="1"/>
  <c r="L10" i="54"/>
  <c r="M10" i="54"/>
  <c r="E53" i="106"/>
  <c r="G53" i="106" s="1"/>
  <c r="J126" i="58"/>
  <c r="J120" i="89"/>
  <c r="J124" i="89" s="1"/>
  <c r="L38" i="54"/>
  <c r="S38" i="54" s="1"/>
  <c r="U38" i="54" s="1"/>
  <c r="W38" i="54" s="1"/>
  <c r="J116" i="103"/>
  <c r="K52" i="54"/>
  <c r="J116" i="104"/>
  <c r="K53" i="54"/>
  <c r="J116" i="102"/>
  <c r="I151" i="56" s="1"/>
  <c r="K51" i="54"/>
  <c r="J116" i="101"/>
  <c r="K50" i="54"/>
  <c r="R49" i="54"/>
  <c r="G49" i="54"/>
  <c r="F49" i="54"/>
  <c r="J120" i="100"/>
  <c r="J124" i="100" s="1"/>
  <c r="L49" i="54"/>
  <c r="S49" i="54" s="1"/>
  <c r="W49" i="54" s="1"/>
  <c r="J116" i="99"/>
  <c r="K48" i="54"/>
  <c r="J120" i="98"/>
  <c r="J124" i="98" s="1"/>
  <c r="M47" i="54" s="1"/>
  <c r="L47" i="54"/>
  <c r="J116" i="96"/>
  <c r="K45" i="54"/>
  <c r="F44" i="54"/>
  <c r="G44" i="54"/>
  <c r="R44" i="54"/>
  <c r="J120" i="95"/>
  <c r="J124" i="95" s="1"/>
  <c r="L44" i="54"/>
  <c r="S44" i="54" s="1"/>
  <c r="W44" i="54" s="1"/>
  <c r="J116" i="94"/>
  <c r="K43" i="54"/>
  <c r="J116" i="93"/>
  <c r="K42" i="54"/>
  <c r="J116" i="92"/>
  <c r="K41" i="54"/>
  <c r="J116" i="91"/>
  <c r="K40" i="54"/>
  <c r="J116" i="90"/>
  <c r="K39" i="54"/>
  <c r="F36" i="54"/>
  <c r="G36" i="54"/>
  <c r="R36" i="54"/>
  <c r="J120" i="87"/>
  <c r="J124" i="87" s="1"/>
  <c r="L36" i="54"/>
  <c r="S36" i="54" s="1"/>
  <c r="W36" i="54" s="1"/>
  <c r="J116" i="86"/>
  <c r="K35" i="54"/>
  <c r="J116" i="85"/>
  <c r="K34" i="54"/>
  <c r="J116" i="83"/>
  <c r="K32" i="54"/>
  <c r="J116" i="81"/>
  <c r="K30" i="54"/>
  <c r="J116" i="79"/>
  <c r="K28" i="54"/>
  <c r="J116" i="78"/>
  <c r="K27" i="54"/>
  <c r="J116" i="77"/>
  <c r="K26" i="54"/>
  <c r="J120" i="75"/>
  <c r="J124" i="75" s="1"/>
  <c r="L24" i="54"/>
  <c r="S24" i="54" s="1"/>
  <c r="W24" i="54" s="1"/>
  <c r="R24" i="54"/>
  <c r="G24" i="54"/>
  <c r="F24" i="54"/>
  <c r="J116" i="74"/>
  <c r="K23" i="54"/>
  <c r="J116" i="73"/>
  <c r="K22" i="54"/>
  <c r="J116" i="72"/>
  <c r="K21" i="54"/>
  <c r="F19" i="54"/>
  <c r="R19" i="54"/>
  <c r="G19" i="54"/>
  <c r="J120" i="70"/>
  <c r="J124" i="70" s="1"/>
  <c r="L19" i="54"/>
  <c r="S19" i="54" s="1"/>
  <c r="W19" i="54" s="1"/>
  <c r="J116" i="69"/>
  <c r="K18" i="54"/>
  <c r="J116" i="68"/>
  <c r="K17" i="54"/>
  <c r="J116" i="67"/>
  <c r="K16" i="54"/>
  <c r="F15" i="54"/>
  <c r="G15" i="54"/>
  <c r="R15" i="54"/>
  <c r="J120" i="66"/>
  <c r="J124" i="66" s="1"/>
  <c r="M15" i="54" s="1"/>
  <c r="L15" i="54"/>
  <c r="S15" i="54" s="1"/>
  <c r="V15" i="54" s="1"/>
  <c r="W15" i="54" s="1"/>
  <c r="J116" i="65"/>
  <c r="K14" i="54"/>
  <c r="J116" i="64"/>
  <c r="K13" i="54"/>
  <c r="J116" i="62"/>
  <c r="K11" i="54"/>
  <c r="F9" i="54"/>
  <c r="R9" i="54"/>
  <c r="G9" i="54"/>
  <c r="J124" i="60"/>
  <c r="M9" i="54" s="1"/>
  <c r="L9" i="54"/>
  <c r="S9" i="54" s="1"/>
  <c r="U9" i="54" s="1"/>
  <c r="W9" i="54" s="1"/>
  <c r="J116" i="58"/>
  <c r="K7" i="54"/>
  <c r="J116" i="105"/>
  <c r="K54" i="54"/>
  <c r="J116" i="82"/>
  <c r="K31" i="54"/>
  <c r="R29" i="54"/>
  <c r="F29" i="54"/>
  <c r="G29" i="54"/>
  <c r="J120" i="80"/>
  <c r="J124" i="80" s="1"/>
  <c r="L29" i="54"/>
  <c r="S29" i="54" s="1"/>
  <c r="U29" i="54" s="1"/>
  <c r="W29" i="54" s="1"/>
  <c r="J116" i="76"/>
  <c r="K25" i="54"/>
  <c r="J124" i="59"/>
  <c r="L8" i="54"/>
  <c r="S8" i="54" s="1"/>
  <c r="U8" i="54" s="1"/>
  <c r="J126" i="105"/>
  <c r="J126" i="104"/>
  <c r="J126" i="103"/>
  <c r="J126" i="101"/>
  <c r="J126" i="96"/>
  <c r="J126" i="94"/>
  <c r="J126" i="92"/>
  <c r="J126" i="91"/>
  <c r="J126" i="90"/>
  <c r="J126" i="86"/>
  <c r="J126" i="85"/>
  <c r="J126" i="84"/>
  <c r="J126" i="79"/>
  <c r="J126" i="78"/>
  <c r="J126" i="77"/>
  <c r="J126" i="76"/>
  <c r="J126" i="75"/>
  <c r="J126" i="73"/>
  <c r="J126" i="72"/>
  <c r="J126" i="71"/>
  <c r="J126" i="69"/>
  <c r="J126" i="68"/>
  <c r="J126" i="67"/>
  <c r="J126" i="65"/>
  <c r="J126" i="64"/>
  <c r="J114" i="63"/>
  <c r="J126" i="63" s="1"/>
  <c r="J126" i="62"/>
  <c r="J126" i="60"/>
  <c r="M49" i="54" l="1"/>
  <c r="E406" i="106"/>
  <c r="G406" i="106" s="1"/>
  <c r="M44" i="54"/>
  <c r="E362" i="106"/>
  <c r="G362" i="106" s="1"/>
  <c r="M38" i="54"/>
  <c r="E306" i="106"/>
  <c r="G306" i="106" s="1"/>
  <c r="M36" i="54"/>
  <c r="E288" i="106"/>
  <c r="G288" i="106" s="1"/>
  <c r="M29" i="54"/>
  <c r="E224" i="106"/>
  <c r="G224" i="106" s="1"/>
  <c r="M24" i="54"/>
  <c r="E179" i="106"/>
  <c r="G179" i="106" s="1"/>
  <c r="M19" i="54"/>
  <c r="E134" i="106"/>
  <c r="G134" i="106" s="1"/>
  <c r="M8" i="54"/>
  <c r="E12" i="106"/>
  <c r="G12" i="106" s="1"/>
  <c r="G52" i="54"/>
  <c r="R52" i="54"/>
  <c r="F52" i="54"/>
  <c r="J120" i="103"/>
  <c r="J124" i="103" s="1"/>
  <c r="L52" i="54"/>
  <c r="S52" i="54" s="1"/>
  <c r="W52" i="54" s="1"/>
  <c r="G53" i="54"/>
  <c r="R53" i="54"/>
  <c r="F53" i="54"/>
  <c r="J120" i="104"/>
  <c r="J124" i="104" s="1"/>
  <c r="L53" i="54"/>
  <c r="S53" i="54" s="1"/>
  <c r="W53" i="54" s="1"/>
  <c r="G51" i="54"/>
  <c r="F51" i="54"/>
  <c r="J120" i="102"/>
  <c r="J124" i="102" s="1"/>
  <c r="L51" i="54"/>
  <c r="G50" i="54"/>
  <c r="R50" i="54"/>
  <c r="F50" i="54"/>
  <c r="J120" i="101"/>
  <c r="J124" i="101" s="1"/>
  <c r="L50" i="54"/>
  <c r="S50" i="54" s="1"/>
  <c r="V50" i="54" s="1"/>
  <c r="W50" i="54" s="1"/>
  <c r="R48" i="54"/>
  <c r="F48" i="54"/>
  <c r="G48" i="54"/>
  <c r="J120" i="99"/>
  <c r="J124" i="99" s="1"/>
  <c r="L48" i="54"/>
  <c r="S48" i="54" s="1"/>
  <c r="W48" i="54" s="1"/>
  <c r="F45" i="54"/>
  <c r="R45" i="54"/>
  <c r="G45" i="54"/>
  <c r="J120" i="96"/>
  <c r="J124" i="96" s="1"/>
  <c r="L45" i="54"/>
  <c r="S45" i="54" s="1"/>
  <c r="W45" i="54" s="1"/>
  <c r="R43" i="54"/>
  <c r="G43" i="54"/>
  <c r="F43" i="54"/>
  <c r="J120" i="94"/>
  <c r="J124" i="94" s="1"/>
  <c r="L43" i="54"/>
  <c r="S43" i="54" s="1"/>
  <c r="W43" i="54" s="1"/>
  <c r="F42" i="54"/>
  <c r="R42" i="54"/>
  <c r="G42" i="54"/>
  <c r="J120" i="93"/>
  <c r="J124" i="93" s="1"/>
  <c r="L42" i="54"/>
  <c r="S42" i="54" s="1"/>
  <c r="U42" i="54" s="1"/>
  <c r="W42" i="54" s="1"/>
  <c r="F41" i="54"/>
  <c r="G41" i="54"/>
  <c r="R41" i="54"/>
  <c r="J120" i="92"/>
  <c r="J124" i="92" s="1"/>
  <c r="L41" i="54"/>
  <c r="S41" i="54" s="1"/>
  <c r="W41" i="54" s="1"/>
  <c r="R40" i="54"/>
  <c r="F40" i="54"/>
  <c r="G40" i="54"/>
  <c r="J120" i="91"/>
  <c r="J124" i="91" s="1"/>
  <c r="L40" i="54"/>
  <c r="S40" i="54" s="1"/>
  <c r="W40" i="54" s="1"/>
  <c r="F39" i="54"/>
  <c r="G39" i="54"/>
  <c r="R39" i="54"/>
  <c r="J120" i="90"/>
  <c r="J124" i="90" s="1"/>
  <c r="L39" i="54"/>
  <c r="S39" i="54" s="1"/>
  <c r="W39" i="54" s="1"/>
  <c r="F35" i="54"/>
  <c r="R35" i="54"/>
  <c r="G35" i="54"/>
  <c r="J120" i="86"/>
  <c r="J124" i="86" s="1"/>
  <c r="L35" i="54"/>
  <c r="S35" i="54" s="1"/>
  <c r="W35" i="54" s="1"/>
  <c r="G34" i="54"/>
  <c r="F34" i="54"/>
  <c r="R34" i="54"/>
  <c r="J120" i="85"/>
  <c r="L34" i="54"/>
  <c r="S34" i="54" s="1"/>
  <c r="W34" i="54" s="1"/>
  <c r="G32" i="54"/>
  <c r="R32" i="54"/>
  <c r="F32" i="54"/>
  <c r="J120" i="83"/>
  <c r="J124" i="83" s="1"/>
  <c r="L32" i="54"/>
  <c r="S32" i="54" s="1"/>
  <c r="U32" i="54" s="1"/>
  <c r="W32" i="54" s="1"/>
  <c r="R30" i="54"/>
  <c r="F30" i="54"/>
  <c r="G30" i="54"/>
  <c r="J120" i="81"/>
  <c r="J124" i="81" s="1"/>
  <c r="L30" i="54"/>
  <c r="S30" i="54" s="1"/>
  <c r="W30" i="54" s="1"/>
  <c r="R28" i="54"/>
  <c r="G28" i="54"/>
  <c r="F28" i="54"/>
  <c r="J120" i="79"/>
  <c r="J124" i="79" s="1"/>
  <c r="L28" i="54"/>
  <c r="S28" i="54" s="1"/>
  <c r="W28" i="54" s="1"/>
  <c r="G27" i="54"/>
  <c r="R27" i="54"/>
  <c r="F27" i="54"/>
  <c r="J120" i="78"/>
  <c r="J124" i="78" s="1"/>
  <c r="L27" i="54"/>
  <c r="S27" i="54" s="1"/>
  <c r="U27" i="54" s="1"/>
  <c r="W27" i="54" s="1"/>
  <c r="R26" i="54"/>
  <c r="G26" i="54"/>
  <c r="F26" i="54"/>
  <c r="J120" i="77"/>
  <c r="J124" i="77" s="1"/>
  <c r="L26" i="54"/>
  <c r="S26" i="54" s="1"/>
  <c r="W26" i="54" s="1"/>
  <c r="F23" i="54"/>
  <c r="R23" i="54"/>
  <c r="G23" i="54"/>
  <c r="J120" i="74"/>
  <c r="J124" i="74" s="1"/>
  <c r="L23" i="54"/>
  <c r="S23" i="54" s="1"/>
  <c r="U23" i="54" s="1"/>
  <c r="W23" i="54" s="1"/>
  <c r="G22" i="54"/>
  <c r="R22" i="54"/>
  <c r="F22" i="54"/>
  <c r="J120" i="73"/>
  <c r="J124" i="73" s="1"/>
  <c r="M22" i="54" s="1"/>
  <c r="L22" i="54"/>
  <c r="S22" i="54" s="1"/>
  <c r="W22" i="54" s="1"/>
  <c r="R21" i="54"/>
  <c r="G21" i="54"/>
  <c r="F21" i="54"/>
  <c r="J120" i="72"/>
  <c r="J124" i="72" s="1"/>
  <c r="L21" i="54"/>
  <c r="S21" i="54" s="1"/>
  <c r="W21" i="54" s="1"/>
  <c r="F18" i="54"/>
  <c r="G18" i="54"/>
  <c r="R18" i="54"/>
  <c r="J120" i="69"/>
  <c r="J124" i="69" s="1"/>
  <c r="L18" i="54"/>
  <c r="S18" i="54" s="1"/>
  <c r="U18" i="54" s="1"/>
  <c r="W18" i="54" s="1"/>
  <c r="F17" i="54"/>
  <c r="R17" i="54"/>
  <c r="G17" i="54"/>
  <c r="J120" i="68"/>
  <c r="J124" i="68" s="1"/>
  <c r="L17" i="54"/>
  <c r="S17" i="54" s="1"/>
  <c r="V17" i="54" s="1"/>
  <c r="W17" i="54" s="1"/>
  <c r="G16" i="54"/>
  <c r="F16" i="54"/>
  <c r="R16" i="54"/>
  <c r="J120" i="67"/>
  <c r="J124" i="67" s="1"/>
  <c r="M16" i="54" s="1"/>
  <c r="L16" i="54"/>
  <c r="S16" i="54" s="1"/>
  <c r="V16" i="54" s="1"/>
  <c r="W16" i="54" s="1"/>
  <c r="R14" i="54"/>
  <c r="F14" i="54"/>
  <c r="G14" i="54"/>
  <c r="J120" i="65"/>
  <c r="J124" i="65" s="1"/>
  <c r="M14" i="54" s="1"/>
  <c r="L14" i="54"/>
  <c r="S14" i="54" s="1"/>
  <c r="U14" i="54" s="1"/>
  <c r="W14" i="54" s="1"/>
  <c r="F13" i="54"/>
  <c r="R13" i="54"/>
  <c r="G13" i="54"/>
  <c r="J120" i="64"/>
  <c r="J124" i="64" s="1"/>
  <c r="M13" i="54" s="1"/>
  <c r="L13" i="54"/>
  <c r="S13" i="54" s="1"/>
  <c r="W13" i="54" s="1"/>
  <c r="J116" i="63"/>
  <c r="K12" i="54"/>
  <c r="J120" i="62"/>
  <c r="J124" i="62" s="1"/>
  <c r="M11" i="54" s="1"/>
  <c r="L11" i="54"/>
  <c r="L7" i="54"/>
  <c r="J120" i="58"/>
  <c r="J124" i="58" s="1"/>
  <c r="R54" i="54"/>
  <c r="G54" i="54"/>
  <c r="F54" i="54"/>
  <c r="J120" i="105"/>
  <c r="J124" i="105" s="1"/>
  <c r="L54" i="54"/>
  <c r="S54" i="54" s="1"/>
  <c r="W54" i="54" s="1"/>
  <c r="R31" i="54"/>
  <c r="F31" i="54"/>
  <c r="G31" i="54"/>
  <c r="J120" i="82"/>
  <c r="J124" i="82" s="1"/>
  <c r="L31" i="54"/>
  <c r="S31" i="54" s="1"/>
  <c r="W31" i="54" s="1"/>
  <c r="F25" i="54"/>
  <c r="G25" i="54"/>
  <c r="R25" i="54"/>
  <c r="J120" i="76"/>
  <c r="J124" i="76" s="1"/>
  <c r="L25" i="54"/>
  <c r="S25" i="54" s="1"/>
  <c r="V25" i="54" s="1"/>
  <c r="W25" i="54" s="1"/>
  <c r="U56" i="54"/>
  <c r="W8" i="54"/>
  <c r="M51" i="54" l="1"/>
  <c r="E425" i="106"/>
  <c r="G425" i="106" s="1"/>
  <c r="M54" i="54"/>
  <c r="E452" i="106"/>
  <c r="G452" i="106" s="1"/>
  <c r="M53" i="54"/>
  <c r="E443" i="106"/>
  <c r="G443" i="106" s="1"/>
  <c r="M52" i="54"/>
  <c r="E433" i="106"/>
  <c r="G433" i="106" s="1"/>
  <c r="M50" i="54"/>
  <c r="E416" i="106"/>
  <c r="G416" i="106" s="1"/>
  <c r="M48" i="54"/>
  <c r="E396" i="106"/>
  <c r="G396" i="106" s="1"/>
  <c r="M45" i="54"/>
  <c r="E371" i="106"/>
  <c r="G371" i="106" s="1"/>
  <c r="M43" i="54"/>
  <c r="E355" i="106"/>
  <c r="G355" i="106" s="1"/>
  <c r="M41" i="54"/>
  <c r="E334" i="106"/>
  <c r="G334" i="106" s="1"/>
  <c r="M42" i="54"/>
  <c r="E344" i="106"/>
  <c r="G344" i="106" s="1"/>
  <c r="M40" i="54"/>
  <c r="E324" i="106"/>
  <c r="G324" i="106" s="1"/>
  <c r="M39" i="54"/>
  <c r="E315" i="106"/>
  <c r="G315" i="106" s="1"/>
  <c r="M35" i="54"/>
  <c r="E279" i="106"/>
  <c r="G279" i="106" s="1"/>
  <c r="M32" i="54"/>
  <c r="E253" i="106"/>
  <c r="G253" i="106" s="1"/>
  <c r="M31" i="54"/>
  <c r="E243" i="106"/>
  <c r="G243" i="106" s="1"/>
  <c r="M30" i="54"/>
  <c r="E234" i="106"/>
  <c r="G234" i="106" s="1"/>
  <c r="M27" i="54"/>
  <c r="E205" i="106"/>
  <c r="G205" i="106" s="1"/>
  <c r="M28" i="54"/>
  <c r="E213" i="106"/>
  <c r="G213" i="106" s="1"/>
  <c r="M26" i="54"/>
  <c r="E194" i="106"/>
  <c r="G194" i="106" s="1"/>
  <c r="M25" i="54"/>
  <c r="E186" i="106"/>
  <c r="G186" i="106" s="1"/>
  <c r="M23" i="54"/>
  <c r="E171" i="106"/>
  <c r="G171" i="106" s="1"/>
  <c r="M21" i="54"/>
  <c r="E152" i="106"/>
  <c r="G152" i="106" s="1"/>
  <c r="M17" i="54"/>
  <c r="E118" i="106"/>
  <c r="G118" i="106" s="1"/>
  <c r="M18" i="54"/>
  <c r="E125" i="106"/>
  <c r="G125" i="106" s="1"/>
  <c r="M7" i="54"/>
  <c r="E8" i="106"/>
  <c r="G8" i="106" s="1"/>
  <c r="J124" i="85"/>
  <c r="F12" i="54"/>
  <c r="R12" i="54"/>
  <c r="G12" i="54"/>
  <c r="J120" i="63"/>
  <c r="J124" i="63" s="1"/>
  <c r="M12" i="54" s="1"/>
  <c r="L12" i="54"/>
  <c r="S12" i="54" s="1"/>
  <c r="V12" i="54" s="1"/>
  <c r="W12" i="54" s="1"/>
  <c r="E128" i="56"/>
  <c r="M34" i="54" l="1"/>
  <c r="E271" i="106"/>
  <c r="G271" i="106" s="1"/>
  <c r="I112" i="56"/>
  <c r="I110" i="56" l="1"/>
  <c r="Q7" i="54" l="1"/>
  <c r="F7" i="54" l="1"/>
  <c r="R7" i="54"/>
  <c r="G7" i="54"/>
  <c r="S7" i="54" l="1"/>
  <c r="W7" i="54" s="1"/>
  <c r="E39" i="56" l="1"/>
  <c r="I39" i="56" l="1"/>
  <c r="I43" i="56" l="1"/>
  <c r="E43" i="56"/>
  <c r="I41" i="56"/>
  <c r="E41" i="56"/>
  <c r="I42" i="56"/>
  <c r="E42" i="56"/>
  <c r="I40" i="56"/>
  <c r="E40" i="56"/>
  <c r="I44" i="56"/>
  <c r="E44" i="56"/>
  <c r="I45" i="56" l="1"/>
  <c r="I47" i="56" s="1"/>
  <c r="E45" i="56"/>
  <c r="Q47" i="54" l="1"/>
  <c r="Q11" i="54" l="1"/>
  <c r="R47" i="54" l="1"/>
  <c r="F47" i="54"/>
  <c r="G47" i="54"/>
  <c r="S47" i="54"/>
  <c r="W47" i="54" s="1"/>
  <c r="G11" i="54" l="1"/>
  <c r="F11" i="54"/>
  <c r="R11" i="54"/>
  <c r="S11" i="54"/>
  <c r="V11" i="54" s="1"/>
  <c r="W11" i="54" s="1"/>
  <c r="F10" i="54"/>
  <c r="G10" i="54"/>
  <c r="R10" i="54"/>
  <c r="S10" i="54" l="1"/>
  <c r="V10" i="54" s="1"/>
  <c r="W10" i="54" l="1"/>
  <c r="V56" i="54"/>
  <c r="E97" i="2" l="1"/>
  <c r="E127" i="56" s="1"/>
  <c r="T6" i="2" l="1"/>
  <c r="G90" i="2"/>
  <c r="G68" i="2"/>
  <c r="T50" i="2"/>
  <c r="R2" i="2"/>
  <c r="Y106" i="2"/>
  <c r="T104" i="2"/>
  <c r="T103" i="2"/>
  <c r="X103" i="2" s="1"/>
  <c r="T102" i="2"/>
  <c r="X102" i="2" s="1"/>
  <c r="T91" i="2"/>
  <c r="T90" i="2"/>
  <c r="Y80" i="2"/>
  <c r="T31" i="2"/>
  <c r="V32" i="2" s="1"/>
  <c r="T92" i="2"/>
  <c r="J37" i="2"/>
  <c r="I54" i="56" s="1"/>
  <c r="J36" i="2"/>
  <c r="I53" i="56" s="1"/>
  <c r="I55" i="56" l="1"/>
  <c r="V90" i="2"/>
  <c r="F118" i="56"/>
  <c r="V67" i="2"/>
  <c r="F86" i="56"/>
  <c r="J38" i="2"/>
  <c r="X104" i="2"/>
  <c r="Y104" i="2" s="1"/>
  <c r="V102" i="2"/>
  <c r="V103" i="2" s="1"/>
  <c r="Y103" i="2" s="1"/>
  <c r="X83" i="2"/>
  <c r="Y102" i="2" l="1"/>
  <c r="Y105" i="2" s="1"/>
  <c r="E98" i="2" l="1"/>
  <c r="D50" i="2"/>
  <c r="E46" i="2" s="1"/>
  <c r="E64" i="56" s="1"/>
  <c r="C50" i="2"/>
  <c r="D28" i="2"/>
  <c r="C28" i="2"/>
  <c r="E27" i="2" l="1"/>
  <c r="E14" i="2"/>
  <c r="E15" i="2"/>
  <c r="E12" i="2"/>
  <c r="E49" i="2"/>
  <c r="E67" i="56" s="1"/>
  <c r="E48" i="2"/>
  <c r="E66" i="56" s="1"/>
  <c r="E47" i="2"/>
  <c r="E65" i="56" s="1"/>
  <c r="E16" i="2"/>
  <c r="E13" i="2"/>
  <c r="E17" i="2"/>
  <c r="E18" i="2"/>
  <c r="E19" i="2"/>
  <c r="E20" i="2"/>
  <c r="E21" i="2"/>
  <c r="E22" i="2"/>
  <c r="E41" i="2"/>
  <c r="E59" i="56" s="1"/>
  <c r="E23" i="2"/>
  <c r="E42" i="2"/>
  <c r="E60" i="56" s="1"/>
  <c r="E24" i="2"/>
  <c r="E43" i="2"/>
  <c r="E61" i="56" s="1"/>
  <c r="E25" i="2"/>
  <c r="E44" i="2"/>
  <c r="E62" i="56" s="1"/>
  <c r="E26" i="2"/>
  <c r="E45" i="2"/>
  <c r="E63" i="56" s="1"/>
  <c r="T24" i="2" l="1"/>
  <c r="X24" i="2" s="1"/>
  <c r="E26" i="56"/>
  <c r="T23" i="2"/>
  <c r="X23" i="2" s="1"/>
  <c r="E25" i="56"/>
  <c r="T21" i="2"/>
  <c r="X21" i="2" s="1"/>
  <c r="E23" i="56"/>
  <c r="T16" i="2"/>
  <c r="X16" i="2" s="1"/>
  <c r="E18" i="56"/>
  <c r="T15" i="2"/>
  <c r="X15" i="2" s="1"/>
  <c r="E17" i="56"/>
  <c r="E68" i="56"/>
  <c r="T22" i="2"/>
  <c r="X22" i="2" s="1"/>
  <c r="E24" i="56"/>
  <c r="T20" i="2"/>
  <c r="X20" i="2" s="1"/>
  <c r="E22" i="56"/>
  <c r="T19" i="2"/>
  <c r="X19" i="2" s="1"/>
  <c r="S91" i="2" s="1"/>
  <c r="E21" i="56"/>
  <c r="T18" i="2"/>
  <c r="X18" i="2" s="1"/>
  <c r="E20" i="56"/>
  <c r="T17" i="2"/>
  <c r="X17" i="2" s="1"/>
  <c r="S92" i="2" s="1"/>
  <c r="E19" i="56"/>
  <c r="T13" i="2"/>
  <c r="E15" i="56"/>
  <c r="T12" i="2"/>
  <c r="X12" i="2" s="1"/>
  <c r="E14" i="56"/>
  <c r="T26" i="2"/>
  <c r="X26" i="2" s="1"/>
  <c r="E28" i="56"/>
  <c r="T14" i="2"/>
  <c r="X14" i="2" s="1"/>
  <c r="E16" i="56"/>
  <c r="T25" i="2"/>
  <c r="X25" i="2" s="1"/>
  <c r="E27" i="56"/>
  <c r="T27" i="2"/>
  <c r="X27" i="2" s="1"/>
  <c r="E29" i="56"/>
  <c r="X13" i="2"/>
  <c r="S90" i="2" s="1"/>
  <c r="X90" i="2" s="1"/>
  <c r="E28" i="2"/>
  <c r="O6" i="54" s="1" a="1"/>
  <c r="O6" i="54" s="1"/>
  <c r="O56" i="54" s="1"/>
  <c r="O57" i="54" s="1"/>
  <c r="E30" i="56" l="1"/>
  <c r="E32" i="56" s="1"/>
  <c r="T28" i="2"/>
  <c r="X28" i="2"/>
  <c r="V33" i="2" s="1"/>
  <c r="T55" i="2" s="1"/>
  <c r="T52" i="2"/>
  <c r="T58" i="2"/>
  <c r="T61" i="2"/>
  <c r="T64" i="2"/>
  <c r="I103" i="2"/>
  <c r="I102" i="2"/>
  <c r="I104" i="2" s="1"/>
  <c r="J104" i="2" s="1"/>
  <c r="G102" i="2"/>
  <c r="G103" i="2" s="1"/>
  <c r="I98" i="2"/>
  <c r="G128" i="56" s="1"/>
  <c r="I97" i="2"/>
  <c r="G127" i="56" s="1"/>
  <c r="G92" i="2"/>
  <c r="G91" i="2"/>
  <c r="G87" i="2"/>
  <c r="V87" i="2" s="1"/>
  <c r="G86" i="2"/>
  <c r="V86" i="2" s="1"/>
  <c r="G85" i="2"/>
  <c r="G84" i="2"/>
  <c r="F106" i="56" s="1"/>
  <c r="J81" i="2"/>
  <c r="I84" i="2" s="1"/>
  <c r="G72" i="2"/>
  <c r="G71" i="2"/>
  <c r="G70" i="2"/>
  <c r="I65" i="2"/>
  <c r="I62" i="2"/>
  <c r="I59" i="2"/>
  <c r="I56" i="2"/>
  <c r="I53" i="2"/>
  <c r="E50" i="2"/>
  <c r="I49" i="2"/>
  <c r="H67" i="56" s="1"/>
  <c r="I48" i="2"/>
  <c r="H66" i="56" s="1"/>
  <c r="I47" i="2"/>
  <c r="H65" i="56" s="1"/>
  <c r="I46" i="2"/>
  <c r="H64" i="56" s="1"/>
  <c r="I45" i="2"/>
  <c r="H63" i="56" s="1"/>
  <c r="I44" i="2"/>
  <c r="H62" i="56" s="1"/>
  <c r="I43" i="2"/>
  <c r="H61" i="56" s="1"/>
  <c r="I42" i="2"/>
  <c r="H60" i="56" s="1"/>
  <c r="I41" i="2"/>
  <c r="H59" i="56" s="1"/>
  <c r="G32" i="2"/>
  <c r="I27" i="2"/>
  <c r="I26" i="2"/>
  <c r="I25" i="2"/>
  <c r="I24" i="2"/>
  <c r="H26" i="56" s="1"/>
  <c r="I23" i="2"/>
  <c r="H25" i="56" s="1"/>
  <c r="I22" i="2"/>
  <c r="H24" i="56" s="1"/>
  <c r="I21" i="2"/>
  <c r="H23" i="56" s="1"/>
  <c r="I20" i="2"/>
  <c r="H22" i="56" s="1"/>
  <c r="I19" i="2"/>
  <c r="H21" i="56" s="1"/>
  <c r="I18" i="2"/>
  <c r="H20" i="56" s="1"/>
  <c r="I17" i="2"/>
  <c r="H19" i="56" s="1"/>
  <c r="I16" i="2"/>
  <c r="H18" i="56" s="1"/>
  <c r="I15" i="2"/>
  <c r="H17" i="56" s="1"/>
  <c r="I14" i="2"/>
  <c r="H16" i="56" s="1"/>
  <c r="I13" i="2"/>
  <c r="H15" i="56" s="1"/>
  <c r="I12" i="2"/>
  <c r="H14" i="56" s="1"/>
  <c r="I7" i="2"/>
  <c r="I6" i="2"/>
  <c r="J26" i="2" l="1"/>
  <c r="I28" i="56" s="1"/>
  <c r="H28" i="56"/>
  <c r="V85" i="2"/>
  <c r="F108" i="56"/>
  <c r="V92" i="2"/>
  <c r="X92" i="2" s="1"/>
  <c r="F120" i="56"/>
  <c r="X52" i="2"/>
  <c r="H71" i="56"/>
  <c r="X58" i="2"/>
  <c r="H77" i="56"/>
  <c r="V91" i="2"/>
  <c r="X91" i="2" s="1"/>
  <c r="F119" i="56"/>
  <c r="X61" i="2"/>
  <c r="H80" i="56"/>
  <c r="V71" i="2"/>
  <c r="F93" i="56"/>
  <c r="J27" i="2"/>
  <c r="I29" i="56" s="1"/>
  <c r="H29" i="56"/>
  <c r="X64" i="2"/>
  <c r="X65" i="2" s="1"/>
  <c r="X70" i="2" s="1"/>
  <c r="Y70" i="2" s="1"/>
  <c r="H83" i="56"/>
  <c r="X55" i="2"/>
  <c r="H74" i="56"/>
  <c r="V69" i="2"/>
  <c r="F89" i="56"/>
  <c r="V105" i="56"/>
  <c r="Y105" i="56" s="1"/>
  <c r="J106" i="56"/>
  <c r="J25" i="2"/>
  <c r="I27" i="56" s="1"/>
  <c r="H27" i="56"/>
  <c r="V70" i="2"/>
  <c r="F91" i="56"/>
  <c r="J24" i="2"/>
  <c r="I26" i="56" s="1"/>
  <c r="J19" i="2"/>
  <c r="I21" i="56" s="1"/>
  <c r="J20" i="2"/>
  <c r="I22" i="56" s="1"/>
  <c r="J21" i="2"/>
  <c r="I23" i="56" s="1"/>
  <c r="J22" i="2"/>
  <c r="I24" i="56" s="1"/>
  <c r="J23" i="2"/>
  <c r="I25" i="56" s="1"/>
  <c r="Y24" i="2"/>
  <c r="Y21" i="2"/>
  <c r="Y23" i="2"/>
  <c r="Y15" i="2"/>
  <c r="Y26" i="2"/>
  <c r="Y17" i="2"/>
  <c r="Y14" i="2"/>
  <c r="Y22" i="2"/>
  <c r="Y12" i="2"/>
  <c r="Y27" i="2"/>
  <c r="Y20" i="2"/>
  <c r="Y25" i="2"/>
  <c r="Y19" i="2"/>
  <c r="Y18" i="2"/>
  <c r="Y16" i="2"/>
  <c r="J14" i="2"/>
  <c r="I16" i="56" s="1"/>
  <c r="Y13" i="2"/>
  <c r="X62" i="2"/>
  <c r="X67" i="2" s="1"/>
  <c r="Y67" i="2" s="1"/>
  <c r="X56" i="2"/>
  <c r="X85" i="2" s="1"/>
  <c r="Y85" i="2" s="1"/>
  <c r="X53" i="2"/>
  <c r="X69" i="2" s="1"/>
  <c r="Y69" i="2" s="1"/>
  <c r="Y93" i="2"/>
  <c r="S93" i="2"/>
  <c r="X59" i="2"/>
  <c r="X71" i="2" s="1"/>
  <c r="Y71" i="2" s="1"/>
  <c r="J84" i="2"/>
  <c r="V83" i="2"/>
  <c r="Y83" i="2" s="1"/>
  <c r="J42" i="2"/>
  <c r="I60" i="56" s="1"/>
  <c r="X42" i="2"/>
  <c r="Y42" i="2" s="1"/>
  <c r="J44" i="2"/>
  <c r="I62" i="56" s="1"/>
  <c r="X44" i="2"/>
  <c r="Y44" i="2" s="1"/>
  <c r="J48" i="2"/>
  <c r="I66" i="56" s="1"/>
  <c r="X48" i="2"/>
  <c r="Y48" i="2" s="1"/>
  <c r="D92" i="2"/>
  <c r="J13" i="2"/>
  <c r="I15" i="56" s="1"/>
  <c r="J45" i="2"/>
  <c r="I63" i="56" s="1"/>
  <c r="X45" i="2"/>
  <c r="Y45" i="2" s="1"/>
  <c r="J46" i="2"/>
  <c r="I64" i="56" s="1"/>
  <c r="X46" i="2"/>
  <c r="Y46" i="2" s="1"/>
  <c r="J98" i="2"/>
  <c r="I128" i="56" s="1"/>
  <c r="X97" i="2"/>
  <c r="Y97" i="2" s="1"/>
  <c r="J16" i="2"/>
  <c r="I18" i="56" s="1"/>
  <c r="J17" i="2"/>
  <c r="I19" i="56" s="1"/>
  <c r="J41" i="2"/>
  <c r="I59" i="56" s="1"/>
  <c r="X41" i="2"/>
  <c r="Y41" i="2" s="1"/>
  <c r="X43" i="2"/>
  <c r="Y43" i="2" s="1"/>
  <c r="J43" i="2"/>
  <c r="I61" i="56" s="1"/>
  <c r="J12" i="2"/>
  <c r="I14" i="56" s="1"/>
  <c r="J97" i="2"/>
  <c r="I127" i="56" s="1"/>
  <c r="X96" i="2"/>
  <c r="Y96" i="2" s="1"/>
  <c r="J15" i="2"/>
  <c r="I17" i="56" s="1"/>
  <c r="J47" i="2"/>
  <c r="I65" i="56" s="1"/>
  <c r="X47" i="2"/>
  <c r="Y47" i="2" s="1"/>
  <c r="J49" i="2"/>
  <c r="I67" i="56" s="1"/>
  <c r="X49" i="2"/>
  <c r="Y49" i="2" s="1"/>
  <c r="J18" i="2"/>
  <c r="I20" i="56" s="1"/>
  <c r="C62" i="2"/>
  <c r="C53" i="2"/>
  <c r="B91" i="2"/>
  <c r="C119" i="56" s="1"/>
  <c r="B92" i="2"/>
  <c r="C120" i="56" s="1"/>
  <c r="I28" i="2"/>
  <c r="H30" i="56" s="1"/>
  <c r="E47" i="56" s="1"/>
  <c r="C65" i="2"/>
  <c r="J103" i="2"/>
  <c r="J31" i="2"/>
  <c r="B90" i="2"/>
  <c r="C118" i="56" s="1"/>
  <c r="J102" i="2"/>
  <c r="D90" i="2"/>
  <c r="C59" i="2"/>
  <c r="D91" i="2"/>
  <c r="I68" i="56" l="1"/>
  <c r="I66" i="2"/>
  <c r="I71" i="2" s="1"/>
  <c r="J71" i="2" s="1"/>
  <c r="I91" i="56" s="1"/>
  <c r="C83" i="56"/>
  <c r="H84" i="56" s="1"/>
  <c r="H91" i="56" s="1"/>
  <c r="K91" i="56" s="1"/>
  <c r="I54" i="2"/>
  <c r="C71" i="56"/>
  <c r="H72" i="56" s="1"/>
  <c r="I63" i="2"/>
  <c r="I68" i="2" s="1"/>
  <c r="J68" i="2" s="1"/>
  <c r="I86" i="56" s="1"/>
  <c r="C80" i="56"/>
  <c r="H81" i="56" s="1"/>
  <c r="H86" i="56" s="1"/>
  <c r="K86" i="56" s="1"/>
  <c r="I60" i="2"/>
  <c r="I72" i="2" s="1"/>
  <c r="J72" i="2" s="1"/>
  <c r="I93" i="56" s="1"/>
  <c r="C77" i="56"/>
  <c r="H78" i="56" s="1"/>
  <c r="H93" i="56" s="1"/>
  <c r="K93" i="56" s="1"/>
  <c r="I91" i="2"/>
  <c r="H119" i="56" s="1"/>
  <c r="J50" i="2"/>
  <c r="X86" i="2"/>
  <c r="Y86" i="2" s="1"/>
  <c r="X87" i="2"/>
  <c r="Y87" i="2" s="1"/>
  <c r="J28" i="2"/>
  <c r="I30" i="56" s="1"/>
  <c r="Y28" i="2"/>
  <c r="I90" i="2"/>
  <c r="H118" i="56" s="1"/>
  <c r="I92" i="2"/>
  <c r="H120" i="56" s="1"/>
  <c r="Y50" i="2"/>
  <c r="J32" i="2"/>
  <c r="Y31" i="2"/>
  <c r="Y32" i="2" s="1"/>
  <c r="G33" i="2"/>
  <c r="C56" i="2" s="1"/>
  <c r="J105" i="2"/>
  <c r="I87" i="2"/>
  <c r="J87" i="2" s="1"/>
  <c r="I70" i="2"/>
  <c r="J70" i="2" s="1"/>
  <c r="B93" i="2"/>
  <c r="C121" i="56" s="1"/>
  <c r="L93" i="56" l="1"/>
  <c r="H89" i="56"/>
  <c r="H112" i="56"/>
  <c r="I57" i="2"/>
  <c r="C74" i="56"/>
  <c r="H75" i="56" s="1"/>
  <c r="L86" i="56"/>
  <c r="L91" i="56"/>
  <c r="J33" i="2"/>
  <c r="J93" i="2"/>
  <c r="I121" i="56" s="1"/>
  <c r="Y33" i="2"/>
  <c r="Y107" i="2" s="1"/>
  <c r="Y109" i="2" s="1"/>
  <c r="J111" i="2" s="1"/>
  <c r="I147" i="56" s="1"/>
  <c r="V37" i="2"/>
  <c r="Y37" i="2" s="1"/>
  <c r="V36" i="2"/>
  <c r="Y36" i="2" s="1"/>
  <c r="Y38" i="2" s="1"/>
  <c r="I86" i="2"/>
  <c r="J86" i="2" s="1"/>
  <c r="I85" i="2"/>
  <c r="J85" i="2" s="1"/>
  <c r="I108" i="56" s="1"/>
  <c r="H108" i="56" l="1"/>
  <c r="K108" i="56" s="1"/>
  <c r="L108" i="56" s="1"/>
  <c r="H110" i="56"/>
  <c r="J107" i="2"/>
  <c r="I142" i="56" s="1"/>
  <c r="I58" i="54" s="1"/>
  <c r="J109" i="2" l="1"/>
  <c r="I144" i="56" s="1"/>
  <c r="I6" i="54"/>
  <c r="J58" i="54" l="1"/>
  <c r="H149" i="56"/>
  <c r="Q6" i="54"/>
  <c r="Q56" i="54" s="1"/>
  <c r="I56" i="54"/>
  <c r="I60" i="54" s="1"/>
  <c r="J6" i="54"/>
  <c r="J56" i="54" s="1"/>
  <c r="J60" i="54" s="1"/>
  <c r="I114" i="2"/>
  <c r="I149" i="56" s="1"/>
  <c r="J114" i="2" l="1"/>
  <c r="J126" i="2" l="1"/>
  <c r="I155" i="56"/>
  <c r="K58" i="54" s="1"/>
  <c r="J116" i="2"/>
  <c r="K6" i="54"/>
  <c r="K56" i="54" s="1"/>
  <c r="K60" i="54" l="1"/>
  <c r="L58" i="54"/>
  <c r="F6" i="54"/>
  <c r="R6" i="54"/>
  <c r="G6" i="54"/>
  <c r="L6" i="54"/>
  <c r="L56" i="54" s="1"/>
  <c r="J57" i="57" s="1"/>
  <c r="J120" i="2"/>
  <c r="J124" i="2" s="1"/>
  <c r="E5" i="106" l="1"/>
  <c r="I159" i="56"/>
  <c r="S6" i="54"/>
  <c r="W6" i="54" s="1"/>
  <c r="W56" i="54" s="1"/>
  <c r="M6" i="54"/>
  <c r="M56" i="54" s="1"/>
  <c r="R56" i="54"/>
  <c r="F56" i="54"/>
  <c r="G56" i="54"/>
  <c r="M58" i="54" l="1"/>
  <c r="E469" i="106"/>
  <c r="M60" i="54"/>
  <c r="E462" i="106"/>
  <c r="G5" i="106"/>
  <c r="G462" i="106" s="1"/>
  <c r="S56" i="54"/>
  <c r="L60" i="54"/>
  <c r="E493" i="106" l="1"/>
  <c r="G469" i="106"/>
  <c r="G493" i="106" s="1"/>
  <c r="G495" i="106" s="1"/>
  <c r="G463" i="10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<sst xmlns="http://schemas.openxmlformats.org/spreadsheetml/2006/main" count="19400" uniqueCount="563">
  <si>
    <t>(Insert district number in cell A1, enter, then strike F9. Your district data then pulls from Calculation Detail Sheets)</t>
  </si>
  <si>
    <t>Based on the 2025-26 FEFP Second Calculation</t>
  </si>
  <si>
    <t xml:space="preserve">School District: </t>
  </si>
  <si>
    <t>1A.   2025-26 FEFP State and Local Funding</t>
  </si>
  <si>
    <t>Base Student Allocation</t>
  </si>
  <si>
    <t>Comparable Wage Factor:</t>
  </si>
  <si>
    <t>Small District Factor</t>
  </si>
  <si>
    <t>2025-26</t>
  </si>
  <si>
    <t>Program</t>
  </si>
  <si>
    <t>Weighted FTE</t>
  </si>
  <si>
    <t>Base Funding</t>
  </si>
  <si>
    <t>Number of FTE</t>
  </si>
  <si>
    <t>Cost Factor</t>
  </si>
  <si>
    <t>(2) x (3)</t>
  </si>
  <si>
    <t>(WFTE x BSA x CWF x SDF)</t>
  </si>
  <si>
    <t>(1)</t>
  </si>
  <si>
    <t>(2)</t>
  </si>
  <si>
    <t>(3)</t>
  </si>
  <si>
    <t>(4)</t>
  </si>
  <si>
    <t>(5)</t>
  </si>
  <si>
    <t>101 Basic K-3</t>
  </si>
  <si>
    <t>111 Basic K-3 with ESE Services</t>
  </si>
  <si>
    <t>102 Basic 4-8</t>
  </si>
  <si>
    <t>112 Basic 4-8 with ESE Services</t>
  </si>
  <si>
    <t>103 Basic 9-12</t>
  </si>
  <si>
    <t>113 Basic 9-12 with ESE Services</t>
  </si>
  <si>
    <r>
      <t xml:space="preserve">254 ESE Level 4 </t>
    </r>
    <r>
      <rPr>
        <b/>
        <i/>
        <sz val="12"/>
        <rFont val="Times New Roman"/>
        <family val="1"/>
      </rPr>
      <t>(Grade Level PK-3</t>
    </r>
    <r>
      <rPr>
        <b/>
        <sz val="12"/>
        <rFont val="Times New Roman"/>
        <family val="1"/>
      </rPr>
      <t>)</t>
    </r>
  </si>
  <si>
    <r>
      <t xml:space="preserve">254 ESE Level 4 </t>
    </r>
    <r>
      <rPr>
        <b/>
        <i/>
        <sz val="12"/>
        <rFont val="Times New Roman"/>
        <family val="1"/>
      </rPr>
      <t>(Grade Level 4-8)</t>
    </r>
  </si>
  <si>
    <r>
      <t>254 ESE Level 4</t>
    </r>
    <r>
      <rPr>
        <b/>
        <i/>
        <sz val="12"/>
        <rFont val="Times New Roman"/>
        <family val="1"/>
      </rPr>
      <t xml:space="preserve"> (Grade Level 9-12)</t>
    </r>
  </si>
  <si>
    <r>
      <t xml:space="preserve">255 ESE Level 5 </t>
    </r>
    <r>
      <rPr>
        <b/>
        <i/>
        <sz val="12"/>
        <rFont val="Times New Roman"/>
        <family val="1"/>
      </rPr>
      <t>(Grade Level PK-3</t>
    </r>
    <r>
      <rPr>
        <b/>
        <sz val="12"/>
        <rFont val="Times New Roman"/>
        <family val="1"/>
      </rPr>
      <t>)</t>
    </r>
  </si>
  <si>
    <r>
      <t xml:space="preserve">255 ESE Level 5 </t>
    </r>
    <r>
      <rPr>
        <b/>
        <i/>
        <sz val="12"/>
        <rFont val="Times New Roman"/>
        <family val="1"/>
      </rPr>
      <t>(Grade Level 4-8)</t>
    </r>
  </si>
  <si>
    <r>
      <t>255 ESE Level 5</t>
    </r>
    <r>
      <rPr>
        <b/>
        <i/>
        <sz val="12"/>
        <rFont val="Times New Roman"/>
        <family val="1"/>
      </rPr>
      <t xml:space="preserve"> (Grade Level 9-12)</t>
    </r>
  </si>
  <si>
    <r>
      <t xml:space="preserve">130 ESOL </t>
    </r>
    <r>
      <rPr>
        <b/>
        <i/>
        <sz val="12"/>
        <rFont val="Times New Roman"/>
        <family val="1"/>
      </rPr>
      <t>(Grade Level PK-3)</t>
    </r>
  </si>
  <si>
    <r>
      <t xml:space="preserve">130 ESOL </t>
    </r>
    <r>
      <rPr>
        <b/>
        <i/>
        <sz val="12"/>
        <rFont val="Times New Roman"/>
        <family val="1"/>
      </rPr>
      <t>(Grade Level 4-8)</t>
    </r>
  </si>
  <si>
    <r>
      <t xml:space="preserve">130 ESOL </t>
    </r>
    <r>
      <rPr>
        <b/>
        <i/>
        <sz val="12"/>
        <rFont val="Times New Roman"/>
        <family val="1"/>
      </rPr>
      <t>(Grade Level 9-12)</t>
    </r>
  </si>
  <si>
    <r>
      <t xml:space="preserve">300 Career Education </t>
    </r>
    <r>
      <rPr>
        <b/>
        <i/>
        <sz val="12"/>
        <rFont val="Times New Roman"/>
        <family val="1"/>
      </rPr>
      <t>(Grades 9-12)</t>
    </r>
  </si>
  <si>
    <t>Totals</t>
  </si>
  <si>
    <t>Letters in Parentheses Refer to Notes at Bottom of Worksheet:</t>
  </si>
  <si>
    <t>Additional FTE</t>
  </si>
  <si>
    <r>
      <t xml:space="preserve">Number of FTE
</t>
    </r>
    <r>
      <rPr>
        <i/>
        <sz val="9"/>
        <color indexed="10"/>
        <rFont val="Times New Roman"/>
        <family val="1"/>
      </rPr>
      <t xml:space="preserve">Charter schools should contact their school district sponsor regarding eligible FTE. Please note that “Number of FTE” is NOT equivalent to number of students enrolled in these courses or programs. </t>
    </r>
  </si>
  <si>
    <t>2025-26
Base Funding                              (WFTE x BSA x CWF x SDF)</t>
  </si>
  <si>
    <t>Small District ESE Supplement</t>
  </si>
  <si>
    <t>Total Additional FTE</t>
  </si>
  <si>
    <t>Additional Base Funds</t>
  </si>
  <si>
    <t xml:space="preserve">Total Funded Weighted FTE </t>
  </si>
  <si>
    <t>Total Base Funding</t>
  </si>
  <si>
    <r>
      <t xml:space="preserve">1B. Classroom Teacher and Other Instructional Personnel Salary Increase 
</t>
    </r>
    <r>
      <rPr>
        <b/>
        <sz val="8"/>
        <color indexed="10"/>
        <rFont val="Times New Roman"/>
        <family val="1"/>
      </rPr>
      <t>Maintenance and Growth Portions of the Salary Increase funds are part of the total Conference Base Funding and are not treated as a separate allocation. Amounts are split out here for informative purposes and for the purposes of providing a total that may be used for calculating the adminstrative fee.</t>
    </r>
  </si>
  <si>
    <t>Maintenance Portion (6.67% of Conference Base Funding)</t>
  </si>
  <si>
    <t>(a)</t>
  </si>
  <si>
    <t>X</t>
  </si>
  <si>
    <t>Growth Portion (0.54% of Conference Base Funding)</t>
  </si>
  <si>
    <t xml:space="preserve">         Total Salary Increase Allocation</t>
  </si>
  <si>
    <t xml:space="preserve"> </t>
  </si>
  <si>
    <t>2.   ESE Guaranteed Allocation:</t>
  </si>
  <si>
    <t>FTE</t>
  </si>
  <si>
    <t>Grade Level</t>
  </si>
  <si>
    <t>Matrix Level</t>
  </si>
  <si>
    <t>Guarantee Per Student</t>
  </si>
  <si>
    <r>
      <t>Additional Funding from the ESE Guaranteed Allocation. Enter the FTE from 111,112 and 113 by grade and matrix level.  Students who do not have a matrix level should be considered 251.  This total should equal all FTE from programs 111, 112 and 113 above,</t>
    </r>
    <r>
      <rPr>
        <sz val="12"/>
        <color indexed="10"/>
        <rFont val="Times New Roman"/>
        <family val="1"/>
      </rPr>
      <t xml:space="preserve"> </t>
    </r>
    <r>
      <rPr>
        <b/>
        <u/>
        <sz val="12"/>
        <color indexed="10"/>
        <rFont val="Times New Roman"/>
        <family val="1"/>
      </rPr>
      <t>less any 113 gifted FTE</t>
    </r>
    <r>
      <rPr>
        <sz val="12"/>
        <rFont val="Times New Roman"/>
        <family val="1"/>
      </rPr>
      <t>.</t>
    </r>
  </si>
  <si>
    <t>PK-3</t>
  </si>
  <si>
    <t>4-8</t>
  </si>
  <si>
    <t>9-12</t>
  </si>
  <si>
    <t>Total FTE with ESE Services</t>
  </si>
  <si>
    <t>Total ESE Guarantee</t>
  </si>
  <si>
    <t>3A. Divide school's Unweighted FTE (UFTE) total computed in Section 1, cell C28 above by the district's total UFTE to obtain school's</t>
  </si>
  <si>
    <t xml:space="preserve"> UFTE share.           Charter School UFTE: </t>
  </si>
  <si>
    <t>÷</t>
  </si>
  <si>
    <t>District's Total UFTE:</t>
  </si>
  <si>
    <t>=</t>
  </si>
  <si>
    <t>3B. Divide school's Weighted FTE (WFTE) total computed in Section 1, cell E33 above by the district's total WFTE to obtain school's</t>
  </si>
  <si>
    <t xml:space="preserve"> WFTE share.          Charter School WFTE: </t>
  </si>
  <si>
    <t>District's Total WFTE:</t>
  </si>
  <si>
    <t>3C. Divide school's Unweighted FTE (UFTE) total computed in Section 1, cell C28 above by the district's total non-scholarship UFTE to obtain school's</t>
  </si>
  <si>
    <t xml:space="preserve"> UFTE share.          Charter School UFTE: </t>
  </si>
  <si>
    <t>District's Total Non-Scholarship UFTE:</t>
  </si>
  <si>
    <t>3D. Divide school's Unweighted FTE (UFTE) total computed in Section 1, cell C28 above by the district's total non-virtual UFTE to obtain school's</t>
  </si>
  <si>
    <t>District's Total Non-Virtual UFTE:</t>
  </si>
  <si>
    <t>3E. Divide school's Unweighted FTE (UFTE) total computed in Section 1, cell C28 above by the district's total non-scholarship and non-virtual UFTE to obtain school's</t>
  </si>
  <si>
    <t>District's Total Non-Scholarship Non-Virtual UFTE:</t>
  </si>
  <si>
    <t>4.   Educational Enrichment Share (Non-Virtual UFTE share)</t>
  </si>
  <si>
    <t>(e)</t>
  </si>
  <si>
    <t>x</t>
  </si>
  <si>
    <t>5.   Discretionary Millage Compression Allocation</t>
  </si>
  <si>
    <t>.748 Mills (UFTE share)</t>
  </si>
  <si>
    <t>(b)</t>
  </si>
  <si>
    <t>6.   Safe Schools Allocation (Non-Virtual and Non-Scholarship UFTE share)</t>
  </si>
  <si>
    <t>(f)</t>
  </si>
  <si>
    <t>7.   Mental Health Assistance Allocation (Non-Scholarship UFTE share)</t>
  </si>
  <si>
    <t>(d)</t>
  </si>
  <si>
    <t>8.   Academic Acceleration Options Supplement (Value share)</t>
  </si>
  <si>
    <t>(g)</t>
  </si>
  <si>
    <t>Acceleration Value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</si>
  <si>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(g) below.</t>
    </r>
  </si>
  <si>
    <t>Advanced Placement</t>
  </si>
  <si>
    <t>International Baccalaureate</t>
  </si>
  <si>
    <t>Advanced International Certificate</t>
  </si>
  <si>
    <t>Industry Certified Career Education</t>
  </si>
  <si>
    <t>Early High School Graduation</t>
  </si>
  <si>
    <t>Dual Enrollment</t>
  </si>
  <si>
    <t>School total value</t>
  </si>
  <si>
    <t>District total value</t>
  </si>
  <si>
    <t>School Academic Acceleration Option Supplement</t>
  </si>
  <si>
    <t>9.    Discretionary Local Effort (WFTE share)</t>
  </si>
  <si>
    <t>(c)</t>
  </si>
  <si>
    <t>10.  Proration to Funds Available (WFTE share)</t>
  </si>
  <si>
    <t>11.  Educational Enrollment Stabilization Program (UFTE share)</t>
  </si>
  <si>
    <t>12.  Class Size Reduction Funds:</t>
  </si>
  <si>
    <t>Weighted FTE (not including Add-On)</t>
  </si>
  <si>
    <r>
      <t xml:space="preserve">X         </t>
    </r>
    <r>
      <rPr>
        <b/>
        <u/>
        <sz val="12"/>
        <rFont val="Times New Roman"/>
        <family val="1"/>
      </rPr>
      <t xml:space="preserve"> CWF</t>
    </r>
    <r>
      <rPr>
        <b/>
        <sz val="12"/>
        <rFont val="Times New Roman"/>
        <family val="1"/>
      </rPr>
      <t xml:space="preserve">         X</t>
    </r>
  </si>
  <si>
    <t>Allocation factors</t>
  </si>
  <si>
    <t>PK - 3</t>
  </si>
  <si>
    <r>
      <t xml:space="preserve">Total </t>
    </r>
    <r>
      <rPr>
        <b/>
        <sz val="12"/>
        <color indexed="30"/>
        <rFont val="Times New Roman"/>
        <family val="1"/>
      </rPr>
      <t>*</t>
    </r>
  </si>
  <si>
    <t>Total Class Size Reduction Funds</t>
  </si>
  <si>
    <t>(*Total FTE should equal total in Section 1, column (4) and should not include any additional FTE from Section 1.)</t>
  </si>
  <si>
    <t>13.  Student Transportation</t>
  </si>
  <si>
    <t>(h)</t>
  </si>
  <si>
    <t>Enter All Adjusted Fundable Riders</t>
  </si>
  <si>
    <t xml:space="preserve"> x</t>
  </si>
  <si>
    <t>Enter All Adjusted ESE Riders</t>
  </si>
  <si>
    <t>14.  Federally Connected Student Supplement</t>
  </si>
  <si>
    <t>(i)</t>
  </si>
  <si>
    <t>Impact Aid Student Type</t>
  </si>
  <si>
    <t>Number of Students</t>
  </si>
  <si>
    <t>Exempt Property Allocation</t>
  </si>
  <si>
    <t>Impact Aid Student Allocation</t>
  </si>
  <si>
    <t>Total</t>
  </si>
  <si>
    <t>Military and Indian Lands</t>
  </si>
  <si>
    <t>Civilians on Federal Lands</t>
  </si>
  <si>
    <t>Students with Disabilities</t>
  </si>
  <si>
    <t>15.  Food Service Allocation</t>
  </si>
  <si>
    <t>(j)</t>
  </si>
  <si>
    <t>16.  Total Less Salary Increase Allocation (for administrative fee calculation)</t>
  </si>
  <si>
    <t>(k)</t>
  </si>
  <si>
    <t>17.  Funding for the purpose of calculating the administrative fee for ESE charter schools.</t>
  </si>
  <si>
    <t>(l)</t>
  </si>
  <si>
    <t>If you have more than a 75% ESE student population, please place a 1 in the following box:</t>
  </si>
  <si>
    <t>NOTES:</t>
  </si>
  <si>
    <t xml:space="preserve">(a) This allocation will be frozen as of the 2025-26 FEFP Conference Calculation and will not be recalculated throughout the year. Charter school allocations are recommended not to be recalculated with fluctuations in student enrollment later in the year. </t>
  </si>
  <si>
    <t>(b) District allocations multiplied by percentage from item 3A.</t>
  </si>
  <si>
    <t>(c) District allocations multiplied by percentage from item 3B.</t>
  </si>
  <si>
    <t>(d) District allocations multiplied by percentage from item 3C.</t>
  </si>
  <si>
    <t>(e) District allocations multiplied by percentage from item 3D.</t>
  </si>
  <si>
    <t>(f) District allocations multiplied by percentage from item 3E.</t>
  </si>
  <si>
    <t xml:space="preserve">(g) Acceleration values earned through Advanced Placement, International Baccalaureate, Advanced International Certificate of Education, Industry Certified Career Education (CAPE), Early High School Graduation and Dual Enrollment pursuant to s. 1011.62(17), F.S. </t>
  </si>
  <si>
    <t>(h)  Numbers entered here will be multiplied by the district level transportation funding per rider. "All Adjusted Fundable Riders" should include both basic and ESE Riders. "All Adjusted ESE Riders" should include only ESE Riders.</t>
  </si>
  <si>
    <t xml:space="preserve">(i) The Federally Connected Student Supplement provides additional funding for students on federal lands that receive Section 8003 impact aide pursuant to s. 1011.62(10), F.S. </t>
  </si>
  <si>
    <t xml:space="preserve">(j) Funding based on student eligibility and meals provided, if participating in the National School Lunch Program. </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</si>
  <si>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</si>
  <si>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</si>
  <si>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Administrative fees:</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</si>
  <si>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</si>
  <si>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</si>
  <si>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Other:</t>
  </si>
  <si>
    <t>FEFP and categorical funding are recalculated during the year to reflect the revised number of full-time equivalent students reported during the survey periods designated by the Commissioner of Education.</t>
  </si>
  <si>
    <t>Revenues flow to districts from state sources and from county tax collectors on various distribution schedules.</t>
  </si>
  <si>
    <t>Revenue Estimate Worksheet: Palm Beach Preparatory Middle School 0040</t>
  </si>
  <si>
    <t>Oct 2024</t>
  </si>
  <si>
    <t>Feb 2025</t>
  </si>
  <si>
    <t>Total FTE</t>
  </si>
  <si>
    <t>Oct 2024 FTE</t>
  </si>
  <si>
    <t>Feb 2025 FTE</t>
  </si>
  <si>
    <t>Average FTE</t>
  </si>
  <si>
    <r>
      <t xml:space="preserve">Number of FTE
</t>
    </r>
    <r>
      <rPr>
        <i/>
        <sz val="9"/>
        <color indexed="10"/>
        <rFont val="Times New Roman"/>
        <family val="1"/>
      </rPr>
      <t>Charter schools should contact their school district sponsor regarding eligible FTE. Please note that “Number of FTE” is NOT equivalent to number of students enrolled in these courses or programs. Please refer to footnote (a) below.</t>
    </r>
  </si>
  <si>
    <t>Additional Funding from the ESE Guaranteed Allocation. Enter the FTE from 111,112, &amp; 113 by grade and matrix level.  Students who do not have a matrix level should be considered 251.  This total should equal all FTE from programs 111, 112 &amp; 113 above.</t>
  </si>
  <si>
    <t>3B. Divide school's Weighted FTE (WFTE) total computed in Section 1, cell E39 above by the district's total WFTE to obtain school's</t>
  </si>
  <si>
    <t>District's Total Non-Virtual and Non-Scholarship UFTE:</t>
  </si>
  <si>
    <t>.748 Mills</t>
  </si>
  <si>
    <t>6.   Safe Schools Allocation (Non-Virtual and Scholarship UFTE share)</t>
  </si>
  <si>
    <t>7.  Mental Health Assistance Allocation (Non-Scholarship UFTE share)</t>
  </si>
  <si>
    <t>8.  Academic Acceleration Options Supplement (Value share)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</si>
  <si>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(a) below.</t>
    </r>
  </si>
  <si>
    <t>9.    ESE Guaranteed Allocation</t>
  </si>
  <si>
    <t>10.  Discretionary Local Effort (WFTE share)</t>
  </si>
  <si>
    <t>11.  Proration to Funds Available (WFTE share)</t>
  </si>
  <si>
    <t>12.  Educational Enrollment Stabilization Program (UFTE share)</t>
  </si>
  <si>
    <t>13.  Class Size Reduction Funds:</t>
  </si>
  <si>
    <t>X          CWF         X</t>
  </si>
  <si>
    <t>14.  Student Transportation</t>
  </si>
  <si>
    <t>15.  Federally Connected Student Supplement</t>
  </si>
  <si>
    <t>16.  Food Service Allocation</t>
  </si>
  <si>
    <t>Total Funding for Calculating the Administrative fee of Charters with More Than 75% ESE Students.</t>
  </si>
  <si>
    <t xml:space="preserve">This tab of the worksheet is Set up to show estimated funding based on Unweighted FTE for charter schools with ESE populations of more than 75% so that </t>
  </si>
  <si>
    <t>the proper administrative fee can be estimated. It should not be necessary to enter data on this page.</t>
  </si>
  <si>
    <t>Palm Beach</t>
  </si>
  <si>
    <t>September 2025</t>
  </si>
  <si>
    <t>Less Administrative Fee (5% for up to 250 students of Un-Weighted FTE)</t>
  </si>
  <si>
    <t>Total Estimated Revenue</t>
  </si>
  <si>
    <t>Previous Charter School Payments Made</t>
  </si>
  <si>
    <t>Remaining Estimated Revenue</t>
  </si>
  <si>
    <t>Number of Remaining Months</t>
  </si>
  <si>
    <t>Current month's payment amount</t>
  </si>
  <si>
    <t>Excess of Administrative Fees to be Allocated to Capital Expenditures</t>
  </si>
  <si>
    <t>Admin</t>
  </si>
  <si>
    <t>Fee %</t>
  </si>
  <si>
    <t>Annual</t>
  </si>
  <si>
    <t>Current</t>
  </si>
  <si>
    <t>Sec 1 Rev/Fee per FTE</t>
  </si>
  <si>
    <t>Net Rev Per Sec 1 FTE</t>
  </si>
  <si>
    <t>H/P</t>
  </si>
  <si>
    <t>ESE</t>
  </si>
  <si>
    <t>W/O TSIA</t>
  </si>
  <si>
    <t>Revenue</t>
  </si>
  <si>
    <t>Rev - TSIA</t>
  </si>
  <si>
    <t>Admin Fee</t>
  </si>
  <si>
    <t>Net Revenue</t>
  </si>
  <si>
    <t>Mth's Pmt</t>
  </si>
  <si>
    <t>Sec 1 FTE</t>
  </si>
  <si>
    <t>Rev</t>
  </si>
  <si>
    <t>Fee</t>
  </si>
  <si>
    <t>Net Rev</t>
  </si>
  <si>
    <t>75% ESE</t>
  </si>
  <si>
    <t>Other</t>
  </si>
  <si>
    <t>0040</t>
  </si>
  <si>
    <t>Palm Beach Preparatory Middle School</t>
  </si>
  <si>
    <t>0100</t>
  </si>
  <si>
    <t>The Learning Center Highschool</t>
  </si>
  <si>
    <t>1461</t>
  </si>
  <si>
    <t>Inlet Grove Community High School</t>
  </si>
  <si>
    <t>1571</t>
  </si>
  <si>
    <t>South Tech Charter Academy</t>
  </si>
  <si>
    <t>2521</t>
  </si>
  <si>
    <t>Ed Venture</t>
  </si>
  <si>
    <t>2531</t>
  </si>
  <si>
    <t>Bodwell Academy</t>
  </si>
  <si>
    <t>2791</t>
  </si>
  <si>
    <t>The Learning Center @ The Els Center of Excl</t>
  </si>
  <si>
    <t>2801</t>
  </si>
  <si>
    <t>Palm Beach Maritime Academy Elementary</t>
  </si>
  <si>
    <t>2911</t>
  </si>
  <si>
    <t>Western Academy Charter School</t>
  </si>
  <si>
    <t>2941</t>
  </si>
  <si>
    <t>Palm Beach School for Autism</t>
  </si>
  <si>
    <t>3083</t>
  </si>
  <si>
    <t>The Learning Academy @ The Els Center of Excl</t>
  </si>
  <si>
    <t>3345</t>
  </si>
  <si>
    <t>Career Academy of the Palm Beaches</t>
  </si>
  <si>
    <t>3381</t>
  </si>
  <si>
    <t>Imagine Schools - Chancellor Campus</t>
  </si>
  <si>
    <t>3382</t>
  </si>
  <si>
    <t xml:space="preserve">Glades Academy </t>
  </si>
  <si>
    <t>3391</t>
  </si>
  <si>
    <t>Seagull Academy for Independent Living</t>
  </si>
  <si>
    <t>3394</t>
  </si>
  <si>
    <t>Montessori Academy of Early Enrichment</t>
  </si>
  <si>
    <t>3395</t>
  </si>
  <si>
    <t>Somerset Academy Charter School</t>
  </si>
  <si>
    <t>3396</t>
  </si>
  <si>
    <t xml:space="preserve">G-Star School of the Arts </t>
  </si>
  <si>
    <t>3398</t>
  </si>
  <si>
    <t>Everglades Preparatory Academy</t>
  </si>
  <si>
    <t>3400</t>
  </si>
  <si>
    <t>Believers Academy</t>
  </si>
  <si>
    <t>3401</t>
  </si>
  <si>
    <t>Quantum High School</t>
  </si>
  <si>
    <t>3413</t>
  </si>
  <si>
    <t>Somerset Academy Boca</t>
  </si>
  <si>
    <t>3421</t>
  </si>
  <si>
    <t>Worthington High School</t>
  </si>
  <si>
    <t>3431</t>
  </si>
  <si>
    <t>Renaissance Charter School at WPB</t>
  </si>
  <si>
    <t>South Tech Preparatory Academy (MS)</t>
  </si>
  <si>
    <t>Palm Beach Maritime Academy Secondary</t>
  </si>
  <si>
    <t>3941</t>
  </si>
  <si>
    <t>Ben Gamla Charter School</t>
  </si>
  <si>
    <t>3961</t>
  </si>
  <si>
    <t>Gardens School of Technology Arts</t>
  </si>
  <si>
    <t>3971</t>
  </si>
  <si>
    <t>Palm Beach Preparatory Charter Academy</t>
  </si>
  <si>
    <t>4001</t>
  </si>
  <si>
    <t>Renaissance Charter School at Wellington</t>
  </si>
  <si>
    <t xml:space="preserve">Renaissance Charter School at Summit </t>
  </si>
  <si>
    <t xml:space="preserve">Somerset Academy Canyons Middle School </t>
  </si>
  <si>
    <t xml:space="preserve">Somerset Academy Canyons High School </t>
  </si>
  <si>
    <t>Franklin Academy - Boynton Beach</t>
  </si>
  <si>
    <t>Olympus International Academy</t>
  </si>
  <si>
    <t>Somerset Academy Wellington</t>
  </si>
  <si>
    <t xml:space="preserve">Somerset Academy Boca Middle School </t>
  </si>
  <si>
    <t>Renaissance Charter School at Cypress</t>
  </si>
  <si>
    <t>Renaissance Charter School at Central Palm</t>
  </si>
  <si>
    <t>Franklin Academy - Palm Beach Gardens</t>
  </si>
  <si>
    <t>University Preparatory Academy</t>
  </si>
  <si>
    <t>Florida Futures Academy - North Campus</t>
  </si>
  <si>
    <t>Sports Leadership Academy (SLAM)</t>
  </si>
  <si>
    <t>Somerset Academy Lakes</t>
  </si>
  <si>
    <t>Connections Education Center of the PBs</t>
  </si>
  <si>
    <t>BridgePrep Academy of Palm Beach</t>
  </si>
  <si>
    <t>SLAM Boca</t>
  </si>
  <si>
    <t>SLAM HS Palm Beach</t>
  </si>
  <si>
    <t>Somerset Academy Wellington HS</t>
  </si>
  <si>
    <t>Consolidated tab totals</t>
  </si>
  <si>
    <t>Difference</t>
  </si>
  <si>
    <t>Palm Beach County Charter Schools</t>
  </si>
  <si>
    <t>Sorted by School Number</t>
  </si>
  <si>
    <t>Sorted by School Name</t>
  </si>
  <si>
    <t>Dept #</t>
  </si>
  <si>
    <t>Charter School Name</t>
  </si>
  <si>
    <t>PALM BEACH PREPARATORY ACADEMY MS</t>
  </si>
  <si>
    <t>THE LEARNING CENTER HS</t>
  </si>
  <si>
    <t>3391 Seagull Academy for Independent Living and 2531 Potentials Charter School merged in FY 25 and changed their name to Bodwell Academy</t>
  </si>
  <si>
    <t>4102</t>
  </si>
  <si>
    <t>BridgePrep Academy of PB</t>
  </si>
  <si>
    <t>4100</t>
  </si>
  <si>
    <t>Connections Education Center of the Palm Beaches</t>
  </si>
  <si>
    <t>3961 Garden School of Technology is closing for FY 26.</t>
  </si>
  <si>
    <t>Bodwell Academy (formerly - Potentials Charter School)</t>
  </si>
  <si>
    <t>4080 University Prep is closed for FY 26</t>
  </si>
  <si>
    <t>The Learning Center at The Els Center of Excellence</t>
  </si>
  <si>
    <t>4081</t>
  </si>
  <si>
    <t>4020</t>
  </si>
  <si>
    <t>4061</t>
  </si>
  <si>
    <t>New Schools</t>
  </si>
  <si>
    <t>The Learning Academy at The Els Center of Excellence</t>
  </si>
  <si>
    <t>G-Star School of the Arts for Motion Pictures and Television</t>
  </si>
  <si>
    <t>Somserset Avenir</t>
  </si>
  <si>
    <t>Somerset Avenir</t>
  </si>
  <si>
    <t>4030</t>
  </si>
  <si>
    <t>Somerset Academy JFK Charter School</t>
  </si>
  <si>
    <t>3924</t>
  </si>
  <si>
    <t>Potentials Charter School</t>
  </si>
  <si>
    <t>4051</t>
  </si>
  <si>
    <t>3441</t>
  </si>
  <si>
    <t>South Tech Preparatory Academy (Middle School)</t>
  </si>
  <si>
    <t>4050</t>
  </si>
  <si>
    <t>4002</t>
  </si>
  <si>
    <t>4012</t>
  </si>
  <si>
    <t>4013</t>
  </si>
  <si>
    <t>4041</t>
  </si>
  <si>
    <t>4131</t>
  </si>
  <si>
    <t>4080</t>
  </si>
  <si>
    <t>University Prep Palm Beach</t>
  </si>
  <si>
    <t>Sports Leadership &amp; Management (SLAM) MS</t>
  </si>
  <si>
    <t>4103</t>
  </si>
  <si>
    <t>Sports Leadership Arts Management (SLAM) Acdemy MHS (Boca)</t>
  </si>
  <si>
    <t>The Learning Center High School</t>
  </si>
  <si>
    <t>Revenue Estimate Worksheet: All Charter Schools (Consolidated Tab)</t>
  </si>
  <si>
    <t xml:space="preserve">Base Student Allocation:   </t>
  </si>
  <si>
    <t xml:space="preserve">District Cost Differential:   </t>
  </si>
  <si>
    <t xml:space="preserve">Small District Factor:   </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</si>
  <si>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</si>
  <si>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</si>
  <si>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</si>
  <si>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</si>
  <si>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</si>
  <si>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</si>
  <si>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</si>
  <si>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</si>
  <si>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</si>
  <si>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</si>
  <si>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t>Totals non-virtual schools</t>
  </si>
  <si>
    <t>Virtual schools ($5,476.28/FTE)</t>
  </si>
  <si>
    <t>Totals all schools</t>
  </si>
  <si>
    <t>2018-19</t>
  </si>
  <si>
    <t>Additional FTE (a)</t>
  </si>
  <si>
    <t>(WFTE x BSA x DCD)</t>
  </si>
  <si>
    <t xml:space="preserve">Total Additional FTE   </t>
  </si>
  <si>
    <t xml:space="preserve">Additional Base Funds  </t>
  </si>
  <si>
    <t xml:space="preserve">Total Funded Weighted FTE   </t>
  </si>
  <si>
    <t xml:space="preserve">Total Base Funding  </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</si>
  <si>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</si>
  <si>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</si>
  <si>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</si>
  <si>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Maintenance Portion (6.67% of Conference Funding)</t>
  </si>
  <si>
    <t>(g) (k)</t>
  </si>
  <si>
    <t>Growth Portion (0.54% of Conference Funding)</t>
  </si>
  <si>
    <t>Total Salary Increase</t>
  </si>
  <si>
    <t>Grade</t>
  </si>
  <si>
    <t>Matrix</t>
  </si>
  <si>
    <t>Guarantee</t>
  </si>
  <si>
    <t>Level</t>
  </si>
  <si>
    <t>Per Student</t>
  </si>
  <si>
    <t>Additional Funding from the ESE Guaranteed Allocation. Enter the FTE from 111,112 and 113 by grade and matrix level.  Students who do not have a matrix level should be considered 251.  This total should equal all FTE from programs 111, 112 and 113 above.</t>
  </si>
  <si>
    <t>3A.   Divide school's Unweighted FTE (UFTE) total computed in Section 1, cell E30 above by the district's total UFTE to obtain school's</t>
  </si>
  <si>
    <t xml:space="preserve">          UFTE share.                          CS UFTE: </t>
  </si>
  <si>
    <t xml:space="preserve">    ÷                    District's total UFTE</t>
  </si>
  <si>
    <t>3B.   Divide school's Weighted FTE (WFTE) total computed in Section 1, cell H30 above by the district's total WFTE to obtain school's</t>
  </si>
  <si>
    <t xml:space="preserve">          WFTE share.                       CS WFTE: </t>
  </si>
  <si>
    <t xml:space="preserve">    ÷                    District's total WFTE</t>
  </si>
  <si>
    <t>3C.   Divide school's Unweighted FTE (UFTE) total computed in Section 1, cell E30 above by the District's total non-scholarship UFTE to obtain school's</t>
  </si>
  <si>
    <r>
      <t xml:space="preserve">         </t>
    </r>
    <r>
      <rPr>
        <b/>
        <sz val="11"/>
        <rFont val="Calibri"/>
        <family val="2"/>
        <scheme val="minor"/>
      </rPr>
      <t xml:space="preserve"> UFTE share. </t>
    </r>
    <r>
      <rPr>
        <b/>
        <sz val="12"/>
        <rFont val="Calibri"/>
        <family val="2"/>
        <scheme val="minor"/>
      </rPr>
      <t xml:space="preserve">                           CS UFTE: </t>
    </r>
  </si>
  <si>
    <t xml:space="preserve">    ÷     District's total non-scholarship UFTE    </t>
  </si>
  <si>
    <t>3D.   Divide school's Unweighted FTE (UFTE) total computed in Section 1, cell E30 above by the District's total non-virtual UFTE to obtain school's</t>
  </si>
  <si>
    <t xml:space="preserve">               ÷                  District's total non-virtual UFTE  </t>
  </si>
  <si>
    <t xml:space="preserve">3E.   Divide school's Unweighted FTE (UFTE) total computed in Section 1, cell E30 above by the district's total non-scholarship/virtual UFTE to obtain </t>
  </si>
  <si>
    <r>
      <t xml:space="preserve">         </t>
    </r>
    <r>
      <rPr>
        <b/>
        <sz val="11"/>
        <rFont val="Calibri"/>
        <family val="2"/>
        <scheme val="minor"/>
      </rPr>
      <t xml:space="preserve"> school's UFTE share. </t>
    </r>
    <r>
      <rPr>
        <b/>
        <sz val="12"/>
        <rFont val="Calibri"/>
        <family val="2"/>
        <scheme val="minor"/>
      </rPr>
      <t xml:space="preserve">             CS UFTE: </t>
    </r>
  </si>
  <si>
    <t xml:space="preserve">÷   Dististict's total non-scholarship/virtual UFTE  </t>
  </si>
  <si>
    <t>4.   Educational Enrichment Share (Non-virtual UFTE share)</t>
  </si>
  <si>
    <t xml:space="preserve">        .748 Mills (UFTE share)</t>
  </si>
  <si>
    <t>6.   Safe Schools Allocation (Non-scholarship/virtual UFTE share)</t>
  </si>
  <si>
    <r>
      <t xml:space="preserve">7.   </t>
    </r>
    <r>
      <rPr>
        <b/>
        <sz val="11"/>
        <rFont val="Calibri"/>
        <family val="2"/>
        <scheme val="minor"/>
      </rPr>
      <t>Mental Health Assistance Allocation (Non-scholarship UFTE share)</t>
    </r>
  </si>
  <si>
    <t>Allocation</t>
  </si>
  <si>
    <t>(not including Add-On)</t>
  </si>
  <si>
    <r>
      <rPr>
        <b/>
        <sz val="12"/>
        <rFont val="Calibri"/>
        <family val="2"/>
      </rPr>
      <t xml:space="preserve">  X  </t>
    </r>
    <r>
      <rPr>
        <b/>
        <u/>
        <sz val="12"/>
        <rFont val="Calibri"/>
        <family val="2"/>
      </rPr>
      <t>CWF</t>
    </r>
    <r>
      <rPr>
        <b/>
        <sz val="12"/>
        <rFont val="Calibri"/>
        <family val="2"/>
      </rPr>
      <t xml:space="preserve">  X</t>
    </r>
  </si>
  <si>
    <t>Factors</t>
  </si>
  <si>
    <t xml:space="preserve">PK - 3      </t>
  </si>
  <si>
    <t xml:space="preserve">4-8       </t>
  </si>
  <si>
    <t xml:space="preserve">9-12       </t>
  </si>
  <si>
    <r>
      <t xml:space="preserve">Total </t>
    </r>
    <r>
      <rPr>
        <b/>
        <sz val="12"/>
        <color indexed="30"/>
        <rFont val="Calibri"/>
        <family val="2"/>
      </rPr>
      <t xml:space="preserve">*   </t>
    </r>
  </si>
  <si>
    <t xml:space="preserve">Total Class Size Reduction Funds  </t>
  </si>
  <si>
    <t>Average</t>
  </si>
  <si>
    <t xml:space="preserve">All Adjusted Fundable Riders  </t>
  </si>
  <si>
    <t xml:space="preserve">All Adjusted ESE Riders (Member Cat L)  </t>
  </si>
  <si>
    <t>12.  Federally Connected Student Supplement</t>
  </si>
  <si>
    <t>Impact Aide</t>
  </si>
  <si>
    <t>Exempt Property</t>
  </si>
  <si>
    <t>Student</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</si>
  <si>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</si>
  <si>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</si>
  <si>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</si>
  <si>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</si>
  <si>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</si>
  <si>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</si>
  <si>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</si>
  <si>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</si>
  <si>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</si>
  <si>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 xml:space="preserve">(i) The Federally Connected Student Supplement provides additional funding for students on federal lands that receive Section 8003 impact aide pursuant to s. 1011.62(13), F.S. </t>
  </si>
  <si>
    <t>Cumulative Payments</t>
  </si>
  <si>
    <t>July</t>
  </si>
  <si>
    <t>August</t>
  </si>
  <si>
    <t>Sept</t>
  </si>
  <si>
    <t>Oct</t>
  </si>
  <si>
    <t>Nov</t>
  </si>
  <si>
    <t>Dec</t>
  </si>
  <si>
    <t>Jan</t>
  </si>
  <si>
    <t>Feb</t>
  </si>
  <si>
    <t>March</t>
  </si>
  <si>
    <t>April</t>
  </si>
  <si>
    <t>May</t>
  </si>
  <si>
    <t>June</t>
  </si>
  <si>
    <t>Payments excluding current month</t>
  </si>
  <si>
    <t>Palm Beach Perparatory Charter Academy</t>
  </si>
  <si>
    <t>Related to first payment (July 2025) to 4080 University Prep</t>
  </si>
  <si>
    <t>Net Revenue - Previous Pmts</t>
  </si>
  <si>
    <t>Calculated Current Payment</t>
  </si>
  <si>
    <t>Actual Current Payment</t>
  </si>
  <si>
    <t>rounding diff</t>
  </si>
  <si>
    <t>*Use this for each tab in worksheet, current month is excluded for  calc.</t>
  </si>
  <si>
    <t>H</t>
  </si>
  <si>
    <t>Revenue Estimate Worksheet: The Learning Center Highschool 0100</t>
  </si>
  <si>
    <t>Revenue Estimate Worksheet: Inlet Grove Community High School - 1461</t>
  </si>
  <si>
    <t>Revenue Estimate Worksheet: South Tech Charter Academy - 1571</t>
  </si>
  <si>
    <t>Revenue Estimate Worksheet: Ed Venture Charter School - 2521</t>
  </si>
  <si>
    <t>Revenue Estimate Worksheet: Bodwell Academy - 2531</t>
  </si>
  <si>
    <t>Revenue Estimate Worksheet: The Learning Center at The Els Center of Excellence - 2791</t>
  </si>
  <si>
    <t>Revenue Estimate Worksheet: Palm Beach Maritime Academy Elementary - 2801</t>
  </si>
  <si>
    <t>Revenue Estimate Worksheet: Western Academy Charter School - 2911</t>
  </si>
  <si>
    <t>Revenue Estimate Worksheet: Palm Beach School for Autism - 2941</t>
  </si>
  <si>
    <t>Revenue Estimate Worksheet: The Learning Academy at The Els Center of Excellence - 3083</t>
  </si>
  <si>
    <t>Revenue Estimate Worksheet: Career Academy of the Palm Beaches - 3345</t>
  </si>
  <si>
    <t>Revenue Estimate Worksheet: Imagine Schools - Chancellor Campus - 3381</t>
  </si>
  <si>
    <t>Revenue Estimate Worksheet: Seagull Academy for Independent Living - 3391</t>
  </si>
  <si>
    <t>Revenue Estimate Worksheet: Montessori Academy of Early Enrichment - 3394</t>
  </si>
  <si>
    <t>Revenue Estimate Worksheet: Somerset Academy JFK Charter School - 3395</t>
  </si>
  <si>
    <t>Revenue Estimate Worksheet: G-Star School of the Arts for Motion Pictures &amp; Television - 3396</t>
  </si>
  <si>
    <t>Revenue Estimate Worksheet: Everglades Preparatory Academy - 3398</t>
  </si>
  <si>
    <t>Revenue Estimate Worksheet: Believers Academy - 3400</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</si>
  <si>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</si>
  <si>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</si>
  <si>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</si>
  <si>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</si>
  <si>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</si>
  <si>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Palm Beach Maritime Academy Secondary - 3924</t>
  </si>
  <si>
    <t>Revenue Estimate Worksheet: Ben Gamla Charter School - 3941</t>
  </si>
  <si>
    <t>Revenue Estimate Worksheet: Gardens School of Technology Arts - 3961</t>
  </si>
  <si>
    <t>Revenue Estimate Worksheet: Palm Beach Preparatory Charter Academy - 3971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</si>
  <si>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</si>
  <si>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</si>
  <si>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</si>
  <si>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</si>
  <si>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Franklin Academy - Boynton Beach - 4020</t>
  </si>
  <si>
    <t>Revenue Estimate Worksheet: Olympus International Academy - 4030</t>
  </si>
  <si>
    <t>Revenue Estimate Worksheet: Somerset Academy Wellington - 4031</t>
  </si>
  <si>
    <t>Revenue Estimate Worksheet: Somerset Academy Boca Middle School - 4041</t>
  </si>
  <si>
    <t>Revenue Estimate Worksheet: Renaissance Charter School at Cypress - 4050</t>
  </si>
  <si>
    <t>Revenue Estimate Worksheet: Franklin Academy - Palm Beach Gardens - 4061</t>
  </si>
  <si>
    <t>Revenue Estimate Worksheet: University Prep Palm Beach - 4080</t>
  </si>
  <si>
    <t>Revenue Estimate Worksheet: Florida Futures Academy - North Campus - 4081</t>
  </si>
  <si>
    <t>Revenue Estimate Worksheet: Sports Leadership &amp; Management Middle School (SLAM) - 4090</t>
  </si>
  <si>
    <t>Revenue Estimate Worksheet: Somerset Academy Lakes - 4091</t>
  </si>
  <si>
    <t>Revenue Estimate Worksheet: Connections Education Center of the Palm Beaches - 4100</t>
  </si>
  <si>
    <t>Revenue Estimate Worksheet: BridgePrep Academy of PB - 4102</t>
  </si>
  <si>
    <t>Revenue Estimate Worksheet: Sports Leadership &amp; Management (SLAM) MHS (Boca) - 4103</t>
  </si>
  <si>
    <t>Revenue Estimate Worksheet: Sports Leadership &amp; Management (SLAM) Academy High School - 4111</t>
  </si>
  <si>
    <t>Revenue Estimate Worksheet: Somerset Academy Wellington HS - 4131</t>
  </si>
  <si>
    <t>9.   Discretionary Local Effort (WFTE share)</t>
  </si>
  <si>
    <t>10.   Proration to Funds Available (WFTE share)</t>
  </si>
  <si>
    <t>11.  Educational Enrollment Stabilization Program (UFTE Share)</t>
  </si>
  <si>
    <t>14.  Food Service Allocation</t>
  </si>
  <si>
    <t>School #</t>
  </si>
  <si>
    <t>School Name</t>
  </si>
  <si>
    <t>Description</t>
  </si>
  <si>
    <t>Adjustments</t>
  </si>
  <si>
    <t>Net</t>
  </si>
  <si>
    <t>NOTES TO ALL CHARTER SCHOOLS</t>
  </si>
  <si>
    <t>Please go to the bottom of the page.</t>
  </si>
  <si>
    <t>PY Final FEFP</t>
  </si>
  <si>
    <t>Sep Teacher Supplies Retract</t>
  </si>
  <si>
    <t>PY Digital C/R</t>
  </si>
  <si>
    <t>PY Dig C/R A/R</t>
  </si>
  <si>
    <t>PY Class Size Cat.</t>
  </si>
  <si>
    <t>Class Size Cat.</t>
  </si>
  <si>
    <t xml:space="preserve">Transportation </t>
  </si>
  <si>
    <t>School Police</t>
  </si>
  <si>
    <t>AT&amp;T</t>
  </si>
  <si>
    <t>Avaya Maintenance</t>
  </si>
  <si>
    <t>LAN &amp; Internet</t>
  </si>
  <si>
    <t>Ends June 2022</t>
  </si>
  <si>
    <t>SWA Fees</t>
  </si>
  <si>
    <t>FY21 TSIA</t>
  </si>
  <si>
    <t>WPB-248085</t>
  </si>
  <si>
    <t>WPB-248086</t>
  </si>
  <si>
    <t>WPB-248087</t>
  </si>
  <si>
    <t>WPB-249234</t>
  </si>
  <si>
    <t>WPB-297918</t>
  </si>
  <si>
    <t>WPB-303998</t>
  </si>
  <si>
    <t>WPB-303999</t>
  </si>
  <si>
    <t>FY21 CSTAG Training</t>
  </si>
  <si>
    <t>FEFP Adj</t>
  </si>
  <si>
    <t>WPB-</t>
  </si>
  <si>
    <t>WPB-271562</t>
  </si>
  <si>
    <t xml:space="preserve">PY Final FEFP </t>
  </si>
  <si>
    <t>Unused FY21 TSIA Funds</t>
  </si>
  <si>
    <t>FL AG - FY18</t>
  </si>
  <si>
    <t>PY Safe Schl Alloc</t>
  </si>
  <si>
    <t>MS Course Recovery</t>
  </si>
  <si>
    <t>WPB-255421</t>
  </si>
  <si>
    <t>WPB-292889</t>
  </si>
  <si>
    <t>WPB-260215</t>
  </si>
  <si>
    <t>SIS Fee Reduction</t>
  </si>
  <si>
    <t>FL AG - FY20</t>
  </si>
  <si>
    <t>WPB-295674</t>
  </si>
  <si>
    <t>WPB-292383</t>
  </si>
  <si>
    <t>Unused FY21 TSIA add'l adj</t>
  </si>
  <si>
    <t>TSIA deducted 02/22</t>
  </si>
  <si>
    <t>WPB-242343</t>
  </si>
  <si>
    <t>WPB-264049</t>
  </si>
  <si>
    <t>Disallowed IDEA</t>
  </si>
  <si>
    <t>WPB-241201</t>
  </si>
  <si>
    <t>WPB-245095</t>
  </si>
  <si>
    <t>WPB-229862</t>
  </si>
  <si>
    <t>WPB-268356</t>
  </si>
  <si>
    <t>No payment for August- School closed</t>
  </si>
  <si>
    <t>Sports Leadership &amp; Management MS (SLAM)</t>
  </si>
  <si>
    <t>TSIA deducted 07/21</t>
  </si>
  <si>
    <t>WPB-292475</t>
  </si>
  <si>
    <t>WPB- 274470</t>
  </si>
  <si>
    <t>WPB- 297231</t>
  </si>
  <si>
    <t>Sports Leadership Arts Management (SLAM) - Boca</t>
  </si>
  <si>
    <t>Net payments</t>
  </si>
  <si>
    <t xml:space="preserve">Total current month's FTE payment amount per Consolidated tab  </t>
  </si>
  <si>
    <t>K-12 Initiative Grant</t>
  </si>
  <si>
    <t>WPB-XXX</t>
  </si>
  <si>
    <t xml:space="preserve">Totals per payment approval sheet  </t>
  </si>
  <si>
    <t>1. The FLDOE released the October 2024 FTE Survey 2 report on 11/06/24. FTE counts from this report are used for the August 2025</t>
  </si>
  <si>
    <t>payment calculations. This report has been uploaded to the District's Charter School Fiscal Oversight web page.</t>
  </si>
  <si>
    <t>2. The FDOE has issued the 2025-26 second Calc Revenue Worksheet for Charter Schools,  which was used for the August 2025</t>
  </si>
  <si>
    <t xml:space="preserve"> calculation, FY 26.</t>
  </si>
  <si>
    <t>3. The FDOE released the updated May 2025 Survey 3 Transportation information, which was used for the August 2025</t>
  </si>
  <si>
    <t>payment calculation.</t>
  </si>
  <si>
    <r>
      <t xml:space="preserve">September </t>
    </r>
    <r>
      <rPr>
        <b/>
        <sz val="10"/>
        <color indexed="12"/>
        <rFont val="Calibri"/>
        <family val="2"/>
      </rPr>
      <t xml:space="preserve">2025 - </t>
    </r>
    <r>
      <rPr>
        <b/>
        <sz val="10"/>
        <rFont val="Calibri"/>
        <family val="2"/>
      </rPr>
      <t xml:space="preserve">FY </t>
    </r>
    <r>
      <rPr>
        <b/>
        <sz val="10"/>
        <color indexed="12"/>
        <rFont val="Calibri"/>
        <family val="2"/>
      </rPr>
      <t xml:space="preserve">2025 </t>
    </r>
    <r>
      <rPr>
        <b/>
        <sz val="10"/>
        <rFont val="Calibri"/>
        <family val="2"/>
      </rPr>
      <t>Charter School FTE Payment</t>
    </r>
  </si>
  <si>
    <t>FTE September 2025</t>
  </si>
  <si>
    <t>÷          District's Total Non-Scholarship Non-Virtual UFTE:</t>
  </si>
  <si>
    <t>÷     District's Total Non-Scholarship Non-Virtual UFTE:</t>
  </si>
  <si>
    <t>NOT PAYING FY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</si>
</sst>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7" formatCode="&quot;$&quot;#,##0.00_);\(&quot;$&quot;#,##0.00\)"/>
    <numFmt numFmtId="41" formatCode="_(* #,##0_);_(* \(#,##0\);_(* &quot;-&quot;_);_(@_)"/>
    <numFmt numFmtId="44" formatCode="_(&quot;$&quot;* #,##0.00_);_(&quot;$&quot;* \(#,##0.00\);_(&quot;$&quot;* &quot;-&quot;??_);_(@_)"/>
    <numFmt numFmtId="43" formatCode="_(* #,##0.00_);_(* \(#,##0.00\);_(* &quot;-&quot;??_);_(@_)"/>
    <numFmt numFmtId="164" formatCode="0.000"/>
    <numFmt numFmtId="165" formatCode="_-&quot;$&quot;* #,##0.00_-;\-&quot;$&quot;* #,##0.00_-;_-&quot;$&quot;* &quot;-&quot;??_-;_-@_-"/>
    <numFmt numFmtId="166" formatCode="0.0000"/>
    <numFmt numFmtId="167" formatCode="#,##0.0000"/>
    <numFmt numFmtId="168" formatCode="_-&quot;$&quot;* #,##0_-;\-&quot;$&quot;* #,##0_-;_-&quot;$&quot;* &quot;-&quot;??_-;_-@_-"/>
    <numFmt numFmtId="169" formatCode="0.0000%"/>
    <numFmt numFmtId="170" formatCode="_-* #,##0.00_-;\-* #,##0.00_-;_-* &quot;-&quot;??_-;_-@_-"/>
    <numFmt numFmtId="171" formatCode="0."/>
    <numFmt numFmtId="172" formatCode="_(* #,##0.0000_);_(* \(#,##0.0000\);_(* &quot;-&quot;??_);_(@_)"/>
    <numFmt numFmtId="176" formatCode="#,##0._);\(#,##0.\)"/>
    <numFmt numFmtId="177" formatCode="#,##0;[Red]\(#,##0\)"/>
    <numFmt numFmtId="178" formatCode="#,##0.0000\ \ \ _);\(#,##0.0000\)"/>
    <numFmt numFmtId="179" formatCode="_(* #,##0.0000_);_(* \(#,##0.0000\);_(* &quot;-&quot;????_);_(@_)"/>
    <numFmt numFmtId="180" formatCode="#,##0.0000\ \ \ \ \ \ \ \ \ \ _);\(#,##0.0000\ \ \ \ \ \ \ \ \ \ \)"/>
    <numFmt numFmtId="181" formatCode="#,##0.00\ \ \ \ _);\(#,##0.00\)"/>
    <numFmt numFmtId="182" formatCode="_(* #,##0_);_(* \(#,##0\);_(* &quot;-&quot;??_);_(@_)"/>
    <numFmt numFmtId="183" formatCode="#,##0.00\ \ \ _);\(#,##0.00\)"/>
  </numFmts>
  <fonts count="75" x14ac:knownFonts="1">
    <font>
      <sz val="11"/>
      <color theme="1"/>
      <name val="Calibri"/>
      <family val="2"/>
      <scheme val="minor"/>
    </font>
    <font>
      <sz val="11"/>
      <color theme="1"/>
      <name val="Calibri"/>
      <family val="2"/>
      <scheme val="minor"/>
    </font>
    <font>
      <sz val="10"/>
      <name val="Arial"/>
      <family val="2"/>
    </font>
    <font>
      <b/>
      <sz val="12"/>
      <color indexed="10"/>
      <name val="Times New Roman"/>
      <family val="1"/>
    </font>
    <font>
      <b/>
      <sz val="12"/>
      <color indexed="12"/>
      <name val="Times New Roman"/>
      <family val="1"/>
    </font>
    <font>
      <b/>
      <sz val="12"/>
      <name val="Times New Roman"/>
      <family val="1"/>
    </font>
    <font>
      <sz val="10"/>
      <name val="Arial"/>
      <family val="2"/>
    </font>
    <font>
      <b/>
      <sz val="16"/>
      <name val="Times New Roman"/>
      <family val="1"/>
    </font>
    <font>
      <b/>
      <sz val="14"/>
      <name val="Times New Roman"/>
      <family val="1"/>
    </font>
    <font>
      <sz val="12"/>
      <name val="Times New Roman"/>
      <family val="1"/>
    </font>
    <font>
      <sz val="11"/>
      <name val="Calibri"/>
      <family val="2"/>
    </font>
    <font>
      <b/>
      <sz val="12"/>
      <color rgb="FFFF0000"/>
      <name val="Times New Roman"/>
      <family val="1"/>
    </font>
    <font>
      <b/>
      <i/>
      <sz val="12"/>
      <name val="Times New Roman"/>
      <family val="1"/>
    </font>
    <font>
      <b/>
      <sz val="12"/>
      <color rgb="FF00B050"/>
      <name val="Times New Roman"/>
      <family val="1"/>
    </font>
    <font>
      <i/>
      <sz val="9"/>
      <color indexed="10"/>
      <name val="Times New Roman"/>
      <family val="1"/>
    </font>
    <font>
      <b/>
      <sz val="12"/>
      <color theme="0"/>
      <name val="Times New Roman"/>
      <family val="1"/>
    </font>
    <font>
      <b/>
      <sz val="8"/>
      <color indexed="10"/>
      <name val="Times New Roman"/>
      <family val="1"/>
    </font>
    <font>
      <b/>
      <vertAlign val="superscript"/>
      <sz val="12"/>
      <name val="Times New Roman"/>
      <family val="1"/>
    </font>
    <font>
      <b/>
      <sz val="12"/>
      <color indexed="8"/>
      <name val="Times New Roman"/>
      <family val="1"/>
    </font>
    <font>
      <sz val="12"/>
      <color indexed="10"/>
      <name val="Times New Roman"/>
      <family val="1"/>
    </font>
    <font>
      <b/>
      <u/>
      <sz val="12"/>
      <color indexed="10"/>
      <name val="Times New Roman"/>
      <family val="1"/>
    </font>
    <font>
      <b/>
      <sz val="12"/>
      <name val="Calibri"/>
      <family val="2"/>
    </font>
    <font>
      <b/>
      <u/>
      <sz val="12"/>
      <name val="Times New Roman"/>
      <family val="1"/>
    </font>
    <font>
      <b/>
      <sz val="10"/>
      <name val="Times New Roman"/>
      <family val="1"/>
    </font>
    <font>
      <b/>
      <sz val="12"/>
      <color indexed="30"/>
      <name val="Times New Roman"/>
      <family val="1"/>
    </font>
    <font>
      <i/>
      <sz val="12"/>
      <name val="Times New Roman"/>
      <family val="1"/>
    </font>
    <font>
      <sz val="12"/>
      <name val="Arial"/>
      <family val="2"/>
    </font>
    <font>
      <b/>
      <u/>
      <sz val="10"/>
      <name val="Times New Roman"/>
      <family val="1"/>
    </font>
    <font>
      <b/>
      <i/>
      <sz val="10"/>
      <name val="Times New Roman"/>
      <family val="1"/>
    </font>
    <font>
      <b/>
      <sz val="16"/>
      <name val="Calibri"/>
      <family val="2"/>
      <scheme val="minor"/>
    </font>
    <font>
      <b/>
      <sz val="12"/>
      <color rgb="FFFF0000"/>
      <name val="Calibri"/>
      <family val="2"/>
      <scheme val="minor"/>
    </font>
    <font>
      <b/>
      <sz val="12"/>
      <color rgb="FF0000FF"/>
      <name val="Times New Roman"/>
      <family val="1"/>
    </font>
    <font>
      <b/>
      <u/>
      <sz val="12"/>
      <color rgb="FF0000FF"/>
      <name val="Times New Roman"/>
      <family val="1"/>
    </font>
    <font>
      <sz val="11"/>
      <color rgb="FFFF0000"/>
      <name val="Calibri"/>
      <family val="2"/>
      <scheme val="minor"/>
    </font>
    <font>
      <b/>
      <sz val="11"/>
      <color theme="1"/>
      <name val="Calibri"/>
      <family val="2"/>
      <scheme val="minor"/>
    </font>
    <font>
      <b/>
      <sz val="12"/>
      <color rgb="FF0000FF"/>
      <name val="Calibri"/>
      <family val="2"/>
      <scheme val="minor"/>
    </font>
    <font>
      <b/>
      <sz val="12"/>
      <name val="Calibri"/>
      <family val="2"/>
      <scheme val="minor"/>
    </font>
    <font>
      <b/>
      <sz val="12"/>
      <color theme="0"/>
      <name val="Calibri"/>
      <family val="2"/>
      <scheme val="minor"/>
    </font>
    <font>
      <sz val="10"/>
      <name val="Arial"/>
      <family val="2"/>
    </font>
    <font>
      <sz val="10"/>
      <name val="Calibri"/>
      <family val="2"/>
      <scheme val="minor"/>
    </font>
    <font>
      <b/>
      <sz val="10"/>
      <name val="Calibri"/>
      <family val="2"/>
      <scheme val="minor"/>
    </font>
    <font>
      <b/>
      <sz val="10"/>
      <color rgb="FF0000FF"/>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sz val="10"/>
      <color rgb="FF0000FF"/>
      <name val="Calibri"/>
      <family val="2"/>
      <scheme val="minor"/>
    </font>
    <font>
      <b/>
      <sz val="12"/>
      <color indexed="10"/>
      <name val="Calibri"/>
      <family val="2"/>
      <scheme val="minor"/>
    </font>
    <font>
      <b/>
      <sz val="12"/>
      <color indexed="12"/>
      <name val="Calibri"/>
      <family val="2"/>
      <scheme val="minor"/>
    </font>
    <font>
      <sz val="12"/>
      <name val="Calibri"/>
      <family val="2"/>
      <scheme val="minor"/>
    </font>
    <font>
      <b/>
      <sz val="11"/>
      <name val="Calibri"/>
      <family val="2"/>
      <scheme val="minor"/>
    </font>
    <font>
      <b/>
      <i/>
      <sz val="12"/>
      <name val="Calibri"/>
      <family val="2"/>
    </font>
    <font>
      <sz val="12"/>
      <color rgb="FF0000FF"/>
      <name val="Calibri"/>
      <family val="2"/>
      <scheme val="minor"/>
    </font>
    <font>
      <b/>
      <sz val="12"/>
      <color rgb="FF00B050"/>
      <name val="Calibri"/>
      <family val="2"/>
      <scheme val="minor"/>
    </font>
    <font>
      <b/>
      <sz val="8"/>
      <name val="Calibri"/>
      <family val="2"/>
      <scheme val="minor"/>
    </font>
    <font>
      <b/>
      <sz val="12"/>
      <color indexed="8"/>
      <name val="Calibri"/>
      <family val="2"/>
      <scheme val="minor"/>
    </font>
    <font>
      <b/>
      <u/>
      <sz val="12"/>
      <name val="Calibri"/>
      <family val="2"/>
      <scheme val="minor"/>
    </font>
    <font>
      <b/>
      <u/>
      <sz val="12"/>
      <name val="Calibri"/>
      <family val="2"/>
    </font>
    <font>
      <b/>
      <sz val="12"/>
      <color indexed="30"/>
      <name val="Calibri"/>
      <family val="2"/>
    </font>
    <font>
      <i/>
      <sz val="10"/>
      <name val="Calibri"/>
      <family val="2"/>
      <scheme val="minor"/>
    </font>
    <font>
      <sz val="12"/>
      <color rgb="FFFF0000"/>
      <name val="Calibri"/>
      <family val="2"/>
      <scheme val="minor"/>
    </font>
    <font>
      <sz val="12"/>
      <color indexed="8"/>
      <name val="Calibri"/>
      <family val="2"/>
      <scheme val="minor"/>
    </font>
    <font>
      <sz val="10"/>
      <color theme="1"/>
      <name val="Arial"/>
      <family val="2"/>
    </font>
    <font>
      <b/>
      <sz val="11"/>
      <color rgb="FFFF0000"/>
      <name val="Calibri"/>
      <family val="2"/>
      <scheme val="minor"/>
    </font>
    <font>
      <b/>
      <sz val="10"/>
      <color rgb="FFFF0000"/>
      <name val="Arial"/>
      <family val="2"/>
    </font>
    <font>
      <b/>
      <sz val="10"/>
      <name val="Arial"/>
      <family val="2"/>
    </font>
    <font>
      <b/>
      <sz val="10"/>
      <color theme="1"/>
      <name val="Arial"/>
      <family val="2"/>
    </font>
    <font>
      <sz val="11"/>
      <name val="Calibri"/>
      <family val="2"/>
      <scheme val="minor"/>
    </font>
    <font>
      <sz val="10"/>
      <color rgb="FFFF0000"/>
      <name val="Arial"/>
      <family val="2"/>
    </font>
    <font>
      <b/>
      <sz val="10"/>
      <name val="Calibri"/>
      <family val="2"/>
    </font>
    <font>
      <b/>
      <sz val="10"/>
      <color indexed="12"/>
      <name val="Calibri"/>
      <family val="2"/>
    </font>
    <font>
      <b/>
      <sz val="8"/>
      <name val="Arial"/>
      <family val="2"/>
    </font>
    <font>
      <b/>
      <sz val="8"/>
      <color rgb="FFFFFF00"/>
      <name val="Arial"/>
      <family val="2"/>
    </font>
    <font>
      <sz val="10"/>
      <color rgb="FFFFFF00"/>
      <name val="Calibri"/>
      <family val="2"/>
      <scheme val="minor"/>
    </font>
    <font>
      <b/>
      <sz val="11"/>
      <name val="Times New Roman"/>
      <family val="1"/>
    </font>
    <font>
      <b/>
      <sz val="8"/>
      <name val="Times New Roman"/>
      <family val="1"/>
    </font>
  </fonts>
  <fills count="14">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rgb="FFFFFF66"/>
        <bgColor indexed="64"/>
      </patternFill>
    </fill>
    <fill>
      <patternFill patternType="solid">
        <fgColor theme="8" tint="0.59999389629810485"/>
        <bgColor indexed="64"/>
      </patternFill>
    </fill>
    <fill>
      <patternFill patternType="solid">
        <fgColor rgb="FFFFC000"/>
        <bgColor indexed="64"/>
      </patternFill>
    </fill>
    <fill>
      <patternFill patternType="solid">
        <fgColor theme="9" tint="0.59999389629810485"/>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3">
    <xf numFmtId="0" fontId="0" fillId="0" borderId="0"/>
    <xf numFmtId="43" fontId="1" fillId="0" borderId="0" applyFont="0" applyFill="0" applyBorder="0" applyAlignment="0" applyProtection="0"/>
    <xf numFmtId="0" fontId="2" fillId="0" borderId="0"/>
    <xf numFmtId="165"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 fillId="0" borderId="0"/>
    <xf numFmtId="0" fontId="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38"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0" fontId="2" fillId="0" borderId="0" applyFont="0" applyFill="0" applyBorder="0" applyAlignment="0" applyProtection="0"/>
  </cellStyleXfs>
  <cellXfs count="947">
    <xf numFmtId="0" fontId="0" fillId="0" borderId="0" xfId="0"/>
    <xf numFmtId="0" fontId="3" fillId="0" borderId="1" xfId="2" applyFont="1" applyBorder="1"/>
    <xf numFmtId="0" fontId="5" fillId="0" borderId="0" xfId="2" applyFont="1"/>
    <xf numFmtId="164" fontId="5" fillId="0" borderId="0" xfId="2" applyNumberFormat="1" applyFont="1"/>
    <xf numFmtId="4" fontId="5" fillId="0" borderId="0" xfId="2" applyNumberFormat="1" applyFont="1"/>
    <xf numFmtId="165" fontId="5" fillId="0" borderId="0" xfId="3" applyFont="1"/>
    <xf numFmtId="0" fontId="7" fillId="0" borderId="0" xfId="2" applyFont="1"/>
    <xf numFmtId="0" fontId="8" fillId="0" borderId="0" xfId="2" applyFont="1"/>
    <xf numFmtId="4" fontId="4" fillId="0" borderId="0" xfId="2" applyNumberFormat="1" applyFont="1"/>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166" fontId="9" fillId="0" borderId="0" xfId="2" applyNumberFormat="1" applyFont="1" applyAlignment="1">
      <alignment horizontal="left"/>
    </xf>
    <xf numFmtId="7" fontId="2" fillId="0" borderId="0" xfId="2" applyNumberFormat="1" applyAlignment="1">
      <alignment horizontal="center"/>
    </xf>
    <xf numFmtId="164" fontId="5" fillId="0" borderId="0" xfId="2" applyNumberFormat="1" applyFont="1" applyAlignment="1">
      <alignment wrapText="1"/>
    </xf>
    <xf numFmtId="4" fontId="5" fillId="0" borderId="0" xfId="2" applyNumberFormat="1" applyFont="1" applyAlignment="1">
      <alignment horizontal="center" wrapText="1"/>
    </xf>
    <xf numFmtId="165" fontId="5" fillId="0" borderId="0" xfId="3" applyFont="1" applyBorder="1" applyAlignment="1">
      <alignment horizontal="center" wrapText="1"/>
    </xf>
    <xf numFmtId="4" fontId="5" fillId="0" borderId="3" xfId="2" applyNumberFormat="1" applyFont="1" applyBorder="1" applyAlignment="1">
      <alignment horizontal="center" wrapText="1"/>
    </xf>
    <xf numFmtId="165" fontId="5" fillId="0" borderId="3" xfId="3" applyFont="1" applyBorder="1" applyAlignment="1">
      <alignment horizontal="center" wrapText="1"/>
    </xf>
    <xf numFmtId="4" fontId="5" fillId="0" borderId="3" xfId="2" quotePrefix="1" applyNumberFormat="1" applyFont="1" applyBorder="1" applyAlignment="1">
      <alignment horizontal="center"/>
    </xf>
    <xf numFmtId="165" fontId="5" fillId="0" borderId="3" xfId="3" quotePrefix="1" applyFont="1" applyBorder="1" applyAlignment="1">
      <alignment horizontal="center"/>
    </xf>
    <xf numFmtId="0" fontId="10" fillId="0" borderId="0" xfId="2" applyFont="1" applyAlignment="1">
      <alignment horizontal="center" vertical="center"/>
    </xf>
    <xf numFmtId="167" fontId="5" fillId="0" borderId="3" xfId="2" applyNumberFormat="1" applyFont="1" applyBorder="1"/>
    <xf numFmtId="166" fontId="5" fillId="0" borderId="5" xfId="2" applyNumberFormat="1" applyFont="1" applyBorder="1"/>
    <xf numFmtId="168" fontId="5" fillId="0" borderId="0" xfId="3" applyNumberFormat="1" applyFont="1" applyBorder="1" applyAlignment="1">
      <alignment horizontal="center"/>
    </xf>
    <xf numFmtId="0" fontId="5" fillId="0" borderId="0" xfId="2" applyFont="1" applyAlignment="1">
      <alignment wrapText="1"/>
    </xf>
    <xf numFmtId="4" fontId="15" fillId="3" borderId="5" xfId="2" applyNumberFormat="1" applyFont="1" applyFill="1" applyBorder="1"/>
    <xf numFmtId="4" fontId="11" fillId="2" borderId="5" xfId="2" applyNumberFormat="1" applyFont="1" applyFill="1" applyBorder="1"/>
    <xf numFmtId="168" fontId="5" fillId="0" borderId="5" xfId="3" applyNumberFormat="1" applyFont="1" applyBorder="1" applyAlignment="1">
      <alignment horizontal="right"/>
    </xf>
    <xf numFmtId="166" fontId="5" fillId="0" borderId="0" xfId="2" applyNumberFormat="1" applyFont="1" applyAlignment="1">
      <alignment horizontal="right"/>
    </xf>
    <xf numFmtId="168" fontId="5" fillId="0" borderId="0" xfId="3" applyNumberFormat="1" applyFont="1" applyBorder="1" applyAlignment="1">
      <alignment horizontal="right"/>
    </xf>
    <xf numFmtId="166" fontId="13" fillId="0" borderId="0" xfId="2" applyNumberFormat="1" applyFont="1" applyAlignment="1">
      <alignment horizontal="right"/>
    </xf>
    <xf numFmtId="168" fontId="5" fillId="0" borderId="1" xfId="3" applyNumberFormat="1" applyFont="1" applyBorder="1"/>
    <xf numFmtId="0" fontId="5" fillId="0" borderId="0" xfId="2" applyFont="1" applyAlignment="1">
      <alignment horizontal="right"/>
    </xf>
    <xf numFmtId="2" fontId="5" fillId="0" borderId="0" xfId="2" applyNumberFormat="1" applyFont="1" applyAlignment="1">
      <alignment horizontal="center"/>
    </xf>
    <xf numFmtId="168" fontId="5" fillId="0" borderId="0" xfId="3" applyNumberFormat="1" applyFont="1" applyBorder="1"/>
    <xf numFmtId="4" fontId="5" fillId="0" borderId="0" xfId="2" quotePrefix="1" applyNumberFormat="1" applyFont="1" applyAlignment="1">
      <alignment horizontal="center"/>
    </xf>
    <xf numFmtId="0" fontId="5" fillId="0" borderId="0" xfId="2" applyFont="1" applyAlignment="1">
      <alignment horizontal="center"/>
    </xf>
    <xf numFmtId="10" fontId="5" fillId="0" borderId="0" xfId="5" applyNumberFormat="1" applyFont="1"/>
    <xf numFmtId="0" fontId="17" fillId="0" borderId="0" xfId="2" applyFont="1" applyAlignment="1">
      <alignment horizontal="right"/>
    </xf>
    <xf numFmtId="3" fontId="5" fillId="0" borderId="0" xfId="2" applyNumberFormat="1" applyFont="1"/>
    <xf numFmtId="169" fontId="5" fillId="0" borderId="0" xfId="2" applyNumberFormat="1" applyFont="1"/>
    <xf numFmtId="0" fontId="5" fillId="0" borderId="0" xfId="2" applyFont="1" applyAlignment="1">
      <alignment horizontal="left"/>
    </xf>
    <xf numFmtId="168" fontId="5" fillId="0" borderId="4" xfId="3" applyNumberFormat="1" applyFont="1" applyFill="1" applyBorder="1"/>
    <xf numFmtId="0" fontId="5" fillId="0" borderId="3" xfId="2" applyFont="1" applyBorder="1"/>
    <xf numFmtId="0" fontId="5" fillId="0" borderId="3" xfId="2" applyFont="1" applyBorder="1" applyAlignment="1">
      <alignment horizontal="center" wrapText="1"/>
    </xf>
    <xf numFmtId="168" fontId="5" fillId="0" borderId="3" xfId="2" applyNumberFormat="1" applyFont="1" applyBorder="1"/>
    <xf numFmtId="0" fontId="5" fillId="0" borderId="0" xfId="2" quotePrefix="1" applyFont="1" applyAlignment="1">
      <alignment horizontal="center"/>
    </xf>
    <xf numFmtId="4" fontId="13" fillId="0" borderId="3" xfId="2" applyNumberFormat="1" applyFont="1" applyBorder="1" applyAlignment="1">
      <alignment horizontal="center"/>
    </xf>
    <xf numFmtId="0" fontId="21" fillId="0" borderId="0" xfId="2" applyFont="1" applyAlignment="1">
      <alignment horizontal="center"/>
    </xf>
    <xf numFmtId="164" fontId="5" fillId="0" borderId="0" xfId="2" applyNumberFormat="1" applyFont="1" applyAlignment="1">
      <alignment horizontal="right"/>
    </xf>
    <xf numFmtId="0" fontId="5" fillId="0" borderId="0" xfId="2" applyFont="1" applyAlignment="1">
      <alignment horizontal="left" indent="2"/>
    </xf>
    <xf numFmtId="0" fontId="5" fillId="0" borderId="0" xfId="2" applyFont="1" applyAlignment="1">
      <alignment horizontal="left" indent="3"/>
    </xf>
    <xf numFmtId="0" fontId="9" fillId="0" borderId="0" xfId="2" quotePrefix="1" applyFont="1" applyAlignment="1">
      <alignment horizontal="center"/>
    </xf>
    <xf numFmtId="0" fontId="9" fillId="0" borderId="0" xfId="2" applyFont="1" applyAlignment="1">
      <alignment horizontal="right"/>
    </xf>
    <xf numFmtId="0" fontId="12" fillId="0" borderId="0" xfId="2" applyFont="1"/>
    <xf numFmtId="2" fontId="5" fillId="0" borderId="0" xfId="2" applyNumberFormat="1" applyFont="1"/>
    <xf numFmtId="170" fontId="5" fillId="0" borderId="0" xfId="6" applyFont="1" applyBorder="1"/>
    <xf numFmtId="170" fontId="5" fillId="0" borderId="0" xfId="6" applyFont="1" applyBorder="1" applyAlignment="1">
      <alignment horizontal="center"/>
    </xf>
    <xf numFmtId="0" fontId="5" fillId="0" borderId="3" xfId="2" applyFont="1" applyBorder="1" applyAlignment="1">
      <alignment horizontal="left" indent="2"/>
    </xf>
    <xf numFmtId="0" fontId="9" fillId="0" borderId="3" xfId="2" quotePrefix="1" applyFont="1" applyBorder="1" applyAlignment="1">
      <alignment horizontal="center"/>
    </xf>
    <xf numFmtId="169" fontId="13" fillId="0" borderId="3" xfId="2" applyNumberFormat="1" applyFont="1" applyBorder="1" applyAlignment="1">
      <alignment horizontal="left" indent="2"/>
    </xf>
    <xf numFmtId="168" fontId="5" fillId="0" borderId="3" xfId="3" applyNumberFormat="1" applyFont="1" applyBorder="1" applyAlignment="1">
      <alignment horizontal="right"/>
    </xf>
    <xf numFmtId="38" fontId="5" fillId="0" borderId="0" xfId="2" applyNumberFormat="1" applyFont="1" applyAlignment="1">
      <alignment horizontal="right"/>
    </xf>
    <xf numFmtId="3" fontId="5" fillId="0" borderId="0" xfId="2" applyNumberFormat="1" applyFont="1" applyAlignment="1">
      <alignment horizontal="right"/>
    </xf>
    <xf numFmtId="4" fontId="11" fillId="3" borderId="5" xfId="2" applyNumberFormat="1" applyFont="1" applyFill="1" applyBorder="1"/>
    <xf numFmtId="164" fontId="5" fillId="0" borderId="0" xfId="2" quotePrefix="1" applyNumberFormat="1" applyFont="1"/>
    <xf numFmtId="43" fontId="5" fillId="0" borderId="0" xfId="7" quotePrefix="1" applyFont="1" applyFill="1"/>
    <xf numFmtId="4" fontId="11" fillId="3" borderId="5" xfId="2" applyNumberFormat="1" applyFont="1" applyFill="1" applyBorder="1" applyAlignment="1">
      <alignment wrapText="1"/>
    </xf>
    <xf numFmtId="0" fontId="5" fillId="0" borderId="5" xfId="2" applyFont="1" applyBorder="1" applyAlignment="1">
      <alignment horizontal="left" indent="3"/>
    </xf>
    <xf numFmtId="0" fontId="23" fillId="0" borderId="0" xfId="2" applyFont="1"/>
    <xf numFmtId="164" fontId="23" fillId="0" borderId="0" xfId="2" applyNumberFormat="1" applyFont="1"/>
    <xf numFmtId="168" fontId="5" fillId="0" borderId="0" xfId="2" applyNumberFormat="1" applyFont="1"/>
    <xf numFmtId="4" fontId="11" fillId="3" borderId="3" xfId="2" applyNumberFormat="1" applyFont="1" applyFill="1" applyBorder="1"/>
    <xf numFmtId="43" fontId="5" fillId="0" borderId="5" xfId="7" applyFont="1" applyBorder="1"/>
    <xf numFmtId="43" fontId="5" fillId="0" borderId="0" xfId="7" applyFont="1" applyBorder="1"/>
    <xf numFmtId="4" fontId="23" fillId="0" borderId="0" xfId="2" quotePrefix="1" applyNumberFormat="1" applyFont="1" applyAlignment="1">
      <alignment horizontal="center"/>
    </xf>
    <xf numFmtId="0" fontId="6" fillId="0" borderId="0" xfId="2" applyFont="1"/>
    <xf numFmtId="0" fontId="22" fillId="0" borderId="0" xfId="2" applyFont="1" applyAlignment="1">
      <alignment horizontal="right"/>
    </xf>
    <xf numFmtId="0" fontId="22" fillId="0" borderId="0" xfId="2" applyFont="1" applyAlignment="1">
      <alignment horizontal="center"/>
    </xf>
    <xf numFmtId="166" fontId="5" fillId="0" borderId="0" xfId="2" applyNumberFormat="1" applyFont="1" applyAlignment="1">
      <alignment horizontal="center"/>
    </xf>
    <xf numFmtId="166" fontId="5" fillId="0" borderId="0" xfId="2" applyNumberFormat="1" applyFont="1"/>
    <xf numFmtId="16" fontId="5" fillId="0" borderId="0" xfId="2" quotePrefix="1" applyNumberFormat="1" applyFont="1" applyAlignment="1">
      <alignment horizontal="right"/>
    </xf>
    <xf numFmtId="0" fontId="5" fillId="0" borderId="0" xfId="2" quotePrefix="1" applyFont="1" applyAlignment="1">
      <alignment horizontal="right"/>
    </xf>
    <xf numFmtId="170" fontId="5" fillId="0" borderId="0" xfId="6" applyFont="1" applyBorder="1" applyAlignment="1">
      <alignment horizontal="right"/>
    </xf>
    <xf numFmtId="4" fontId="5" fillId="0" borderId="0" xfId="2" applyNumberFormat="1" applyFont="1" applyAlignment="1">
      <alignment horizontal="left" indent="2"/>
    </xf>
    <xf numFmtId="38" fontId="5" fillId="0" borderId="0" xfId="2" quotePrefix="1" applyNumberFormat="1" applyFont="1"/>
    <xf numFmtId="0" fontId="5" fillId="0" borderId="3" xfId="2" applyFont="1" applyBorder="1" applyAlignment="1">
      <alignment horizontal="center"/>
    </xf>
    <xf numFmtId="7" fontId="5" fillId="0" borderId="0" xfId="2" applyNumberFormat="1" applyFont="1"/>
    <xf numFmtId="7" fontId="5" fillId="0" borderId="3" xfId="2" applyNumberFormat="1" applyFont="1" applyBorder="1"/>
    <xf numFmtId="0" fontId="11" fillId="0" borderId="0" xfId="2" applyFont="1"/>
    <xf numFmtId="168" fontId="5" fillId="0" borderId="1" xfId="2" applyNumberFormat="1" applyFont="1" applyBorder="1" applyAlignment="1">
      <alignment horizontal="right"/>
    </xf>
    <xf numFmtId="3" fontId="5" fillId="0" borderId="0" xfId="2" quotePrefix="1" applyNumberFormat="1" applyFont="1" applyAlignment="1">
      <alignment horizontal="center"/>
    </xf>
    <xf numFmtId="168" fontId="5" fillId="2" borderId="3" xfId="3" applyNumberFormat="1" applyFont="1" applyFill="1" applyBorder="1" applyAlignment="1">
      <alignment horizontal="right"/>
    </xf>
    <xf numFmtId="0" fontId="26" fillId="0" borderId="0" xfId="2" applyFont="1"/>
    <xf numFmtId="168" fontId="5" fillId="0" borderId="9" xfId="2" applyNumberFormat="1" applyFont="1" applyBorder="1" applyAlignment="1">
      <alignment horizontal="right"/>
    </xf>
    <xf numFmtId="168" fontId="5" fillId="0" borderId="10" xfId="2" applyNumberFormat="1" applyFont="1" applyBorder="1"/>
    <xf numFmtId="0" fontId="11" fillId="2" borderId="3" xfId="2" applyFont="1" applyFill="1" applyBorder="1"/>
    <xf numFmtId="0" fontId="23" fillId="0" borderId="0" xfId="2" applyFont="1" applyAlignment="1">
      <alignment horizontal="left"/>
    </xf>
    <xf numFmtId="171" fontId="5" fillId="0" borderId="0" xfId="2" applyNumberFormat="1" applyFont="1" applyAlignment="1">
      <alignment horizontal="left"/>
    </xf>
    <xf numFmtId="0" fontId="7" fillId="0" borderId="0" xfId="2" applyFont="1" applyAlignment="1"/>
    <xf numFmtId="0" fontId="5" fillId="0" borderId="3" xfId="2" applyFont="1" applyBorder="1" applyAlignment="1">
      <alignment horizontal="left" wrapText="1"/>
    </xf>
    <xf numFmtId="0" fontId="7" fillId="0" borderId="0" xfId="2" applyFont="1" applyAlignment="1">
      <alignment horizontal="left" vertical="top"/>
    </xf>
    <xf numFmtId="166" fontId="9" fillId="0" borderId="0" xfId="2" applyNumberFormat="1" applyFont="1" applyAlignment="1"/>
    <xf numFmtId="0" fontId="29" fillId="0" borderId="0" xfId="2" quotePrefix="1" applyFont="1" applyAlignment="1">
      <alignment horizontal="left"/>
    </xf>
    <xf numFmtId="0" fontId="5" fillId="0" borderId="3" xfId="2" applyFont="1" applyBorder="1" applyAlignment="1">
      <alignment horizontal="left" indent="3"/>
    </xf>
    <xf numFmtId="0" fontId="5" fillId="0" borderId="0" xfId="2" applyFont="1" applyBorder="1" applyAlignment="1">
      <alignment horizontal="right"/>
    </xf>
    <xf numFmtId="0" fontId="5" fillId="0" borderId="0" xfId="2" applyFont="1" applyAlignment="1">
      <alignment horizontal="left" wrapText="1"/>
    </xf>
    <xf numFmtId="0" fontId="5" fillId="0" borderId="5" xfId="2" applyFont="1" applyBorder="1" applyAlignment="1">
      <alignment horizontal="left" wrapText="1" indent="3"/>
    </xf>
    <xf numFmtId="166" fontId="5" fillId="0" borderId="0" xfId="2" applyNumberFormat="1" applyFont="1" applyBorder="1" applyAlignment="1">
      <alignment horizontal="center"/>
    </xf>
    <xf numFmtId="0" fontId="11" fillId="0" borderId="0" xfId="2" applyFont="1" applyAlignment="1">
      <alignment horizontal="right"/>
    </xf>
    <xf numFmtId="7" fontId="30" fillId="0" borderId="0" xfId="0" quotePrefix="1" applyNumberFormat="1" applyFont="1" applyAlignment="1">
      <alignment horizontal="center"/>
    </xf>
    <xf numFmtId="17" fontId="30" fillId="0" borderId="0" xfId="0" quotePrefix="1" applyNumberFormat="1" applyFont="1" applyAlignment="1">
      <alignment horizontal="center"/>
    </xf>
    <xf numFmtId="0" fontId="30" fillId="0" borderId="3" xfId="0" quotePrefix="1" applyFont="1" applyBorder="1" applyAlignment="1">
      <alignment horizontal="center"/>
    </xf>
    <xf numFmtId="43" fontId="5" fillId="0" borderId="3" xfId="1" quotePrefix="1" applyFont="1" applyBorder="1" applyAlignment="1">
      <alignment horizontal="center"/>
    </xf>
    <xf numFmtId="43" fontId="5" fillId="6" borderId="4" xfId="1" applyFont="1" applyFill="1" applyBorder="1" applyAlignment="1">
      <alignment horizontal="left" indent="3"/>
    </xf>
    <xf numFmtId="43" fontId="5" fillId="6" borderId="0" xfId="1" applyFont="1" applyFill="1" applyAlignment="1">
      <alignment horizontal="left" indent="3"/>
    </xf>
    <xf numFmtId="0" fontId="11" fillId="0" borderId="3" xfId="2" applyFont="1" applyBorder="1" applyAlignment="1">
      <alignment horizontal="center" wrapText="1"/>
    </xf>
    <xf numFmtId="43" fontId="5" fillId="6" borderId="3" xfId="1" applyFont="1" applyFill="1" applyBorder="1" applyAlignment="1">
      <alignment horizontal="left" indent="3"/>
    </xf>
    <xf numFmtId="43" fontId="9" fillId="6" borderId="0" xfId="1" applyFont="1" applyFill="1" applyBorder="1" applyAlignment="1">
      <alignment horizontal="left" vertical="center" wrapText="1" indent="3"/>
    </xf>
    <xf numFmtId="43" fontId="9" fillId="6" borderId="0" xfId="1" applyFont="1" applyFill="1" applyAlignment="1">
      <alignment horizontal="left" vertical="center" wrapText="1" indent="3"/>
    </xf>
    <xf numFmtId="3" fontId="31" fillId="5" borderId="3" xfId="2" applyNumberFormat="1" applyFont="1" applyFill="1" applyBorder="1"/>
    <xf numFmtId="4" fontId="31" fillId="5" borderId="0" xfId="2" applyNumberFormat="1" applyFont="1" applyFill="1" applyAlignment="1">
      <alignment horizontal="center"/>
    </xf>
    <xf numFmtId="0" fontId="11" fillId="0" borderId="0" xfId="2" applyFont="1" applyAlignment="1">
      <alignment horizontal="left"/>
    </xf>
    <xf numFmtId="0" fontId="11" fillId="0" borderId="0" xfId="2" applyFont="1" applyFill="1" applyBorder="1" applyAlignment="1">
      <alignment horizontal="center"/>
    </xf>
    <xf numFmtId="0" fontId="31" fillId="6" borderId="0" xfId="2" applyFont="1" applyFill="1" applyAlignment="1">
      <alignment horizontal="center"/>
    </xf>
    <xf numFmtId="43" fontId="5" fillId="0" borderId="0" xfId="1" applyFont="1" applyBorder="1" applyAlignment="1">
      <alignment horizontal="right"/>
    </xf>
    <xf numFmtId="165" fontId="5" fillId="0" borderId="3" xfId="3" applyNumberFormat="1" applyFont="1" applyBorder="1"/>
    <xf numFmtId="43" fontId="11" fillId="2" borderId="5" xfId="1" applyFont="1" applyFill="1" applyBorder="1" applyAlignment="1">
      <alignment horizontal="center" wrapText="1"/>
    </xf>
    <xf numFmtId="43" fontId="11" fillId="2" borderId="5" xfId="1" applyFont="1" applyFill="1" applyBorder="1" applyAlignment="1">
      <alignment horizontal="right"/>
    </xf>
    <xf numFmtId="38" fontId="31" fillId="5" borderId="0" xfId="2" quotePrefix="1" applyNumberFormat="1" applyFont="1" applyFill="1"/>
    <xf numFmtId="165" fontId="5" fillId="3" borderId="3" xfId="3" applyNumberFormat="1" applyFont="1" applyFill="1" applyBorder="1"/>
    <xf numFmtId="44" fontId="5" fillId="0" borderId="0" xfId="4" applyNumberFormat="1" applyFont="1" applyFill="1" applyBorder="1"/>
    <xf numFmtId="43" fontId="31" fillId="6" borderId="0" xfId="1" applyFont="1" applyFill="1" applyAlignment="1">
      <alignment horizontal="left" vertical="center" wrapText="1" indent="3"/>
    </xf>
    <xf numFmtId="168" fontId="18" fillId="5" borderId="3" xfId="3" applyNumberFormat="1" applyFont="1" applyFill="1" applyBorder="1"/>
    <xf numFmtId="0" fontId="18" fillId="0" borderId="0" xfId="2" applyFont="1" applyBorder="1" applyAlignment="1">
      <alignment horizontal="center" wrapText="1"/>
    </xf>
    <xf numFmtId="168" fontId="18" fillId="5" borderId="0" xfId="3" applyNumberFormat="1" applyFont="1" applyFill="1" applyBorder="1"/>
    <xf numFmtId="165" fontId="5" fillId="0" borderId="3" xfId="2" applyNumberFormat="1" applyFont="1" applyBorder="1"/>
    <xf numFmtId="165" fontId="5" fillId="0" borderId="3" xfId="3" applyNumberFormat="1" applyFont="1" applyBorder="1" applyAlignment="1">
      <alignment horizontal="right"/>
    </xf>
    <xf numFmtId="43" fontId="31" fillId="5" borderId="3" xfId="1" applyFont="1" applyFill="1" applyBorder="1"/>
    <xf numFmtId="4" fontId="5" fillId="0" borderId="3" xfId="2" applyNumberFormat="1" applyFont="1" applyBorder="1"/>
    <xf numFmtId="172" fontId="5" fillId="0" borderId="3" xfId="1" applyNumberFormat="1" applyFont="1" applyBorder="1"/>
    <xf numFmtId="0" fontId="3" fillId="5" borderId="1" xfId="0" applyFont="1" applyFill="1" applyBorder="1" applyAlignment="1">
      <alignment horizontal="left"/>
    </xf>
    <xf numFmtId="4" fontId="4" fillId="5" borderId="0" xfId="0" applyNumberFormat="1" applyFont="1" applyFill="1"/>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7" fontId="0" fillId="5" borderId="0" xfId="0" applyNumberFormat="1" applyFill="1" applyAlignment="1">
      <alignment horizontal="center"/>
    </xf>
    <xf numFmtId="164" fontId="5" fillId="5" borderId="0" xfId="0" applyNumberFormat="1" applyFont="1" applyFill="1" applyAlignment="1">
      <alignment wrapText="1"/>
    </xf>
    <xf numFmtId="4" fontId="5" fillId="5" borderId="0" xfId="0" applyNumberFormat="1" applyFont="1" applyFill="1" applyAlignment="1">
      <alignment horizontal="center" wrapText="1"/>
    </xf>
    <xf numFmtId="165" fontId="5" fillId="5" borderId="0" xfId="3" applyFont="1" applyFill="1" applyBorder="1" applyAlignment="1">
      <alignment horizontal="center" wrapText="1"/>
    </xf>
    <xf numFmtId="4" fontId="5" fillId="5" borderId="3" xfId="0" applyNumberFormat="1" applyFont="1" applyFill="1" applyBorder="1" applyAlignment="1">
      <alignment horizontal="center" wrapText="1"/>
    </xf>
    <xf numFmtId="165" fontId="5" fillId="5" borderId="3" xfId="3" applyFont="1" applyFill="1" applyBorder="1" applyAlignment="1">
      <alignment horizontal="center" wrapText="1"/>
    </xf>
    <xf numFmtId="4" fontId="5" fillId="5" borderId="3" xfId="0" quotePrefix="1" applyNumberFormat="1" applyFont="1" applyFill="1" applyBorder="1" applyAlignment="1">
      <alignment horizontal="center"/>
    </xf>
    <xf numFmtId="165" fontId="5" fillId="5" borderId="3" xfId="3" quotePrefix="1" applyFont="1" applyFill="1" applyBorder="1" applyAlignment="1">
      <alignment horizontal="center"/>
    </xf>
    <xf numFmtId="167" fontId="5" fillId="5" borderId="3" xfId="0" applyNumberFormat="1" applyFont="1" applyFill="1" applyBorder="1"/>
    <xf numFmtId="168" fontId="5" fillId="5" borderId="3" xfId="3" applyNumberFormat="1" applyFont="1" applyFill="1" applyBorder="1" applyAlignment="1">
      <alignment horizontal="right"/>
    </xf>
    <xf numFmtId="166" fontId="5" fillId="5" borderId="5" xfId="0" applyNumberFormat="1" applyFont="1" applyFill="1" applyBorder="1"/>
    <xf numFmtId="168" fontId="5" fillId="5" borderId="0" xfId="3" applyNumberFormat="1" applyFont="1" applyFill="1" applyBorder="1" applyAlignment="1">
      <alignment horizontal="center"/>
    </xf>
    <xf numFmtId="0" fontId="5" fillId="5" borderId="3" xfId="0" applyFont="1" applyFill="1" applyBorder="1" applyAlignment="1">
      <alignment horizontal="left" wrapText="1"/>
    </xf>
    <xf numFmtId="168" fontId="5" fillId="5" borderId="5" xfId="3" applyNumberFormat="1" applyFont="1" applyFill="1" applyBorder="1" applyAlignment="1">
      <alignment horizontal="right"/>
    </xf>
    <xf numFmtId="166" fontId="5" fillId="5" borderId="0" xfId="0" applyNumberFormat="1" applyFont="1" applyFill="1" applyAlignment="1">
      <alignment horizontal="right"/>
    </xf>
    <xf numFmtId="168" fontId="5" fillId="5" borderId="0" xfId="3" applyNumberFormat="1" applyFont="1" applyFill="1" applyBorder="1" applyAlignment="1">
      <alignment horizontal="right"/>
    </xf>
    <xf numFmtId="166" fontId="13" fillId="5" borderId="0" xfId="0" applyNumberFormat="1" applyFont="1" applyFill="1" applyAlignment="1">
      <alignment horizontal="right"/>
    </xf>
    <xf numFmtId="168" fontId="5" fillId="5" borderId="1" xfId="3" applyNumberFormat="1" applyFont="1" applyFill="1" applyBorder="1" applyAlignment="1">
      <alignment horizontal="right"/>
    </xf>
    <xf numFmtId="0" fontId="5" fillId="5" borderId="0" xfId="0" applyFont="1" applyFill="1" applyAlignment="1">
      <alignment horizontal="right"/>
    </xf>
    <xf numFmtId="2" fontId="5" fillId="5" borderId="0" xfId="0" applyNumberFormat="1" applyFont="1" applyFill="1" applyAlignment="1">
      <alignment horizontal="center"/>
    </xf>
    <xf numFmtId="168" fontId="5" fillId="5" borderId="0" xfId="3" applyNumberFormat="1" applyFont="1" applyFill="1" applyBorder="1"/>
    <xf numFmtId="4" fontId="5" fillId="5" borderId="0" xfId="0" quotePrefix="1" applyNumberFormat="1" applyFont="1" applyFill="1" applyAlignment="1">
      <alignment horizontal="center"/>
    </xf>
    <xf numFmtId="0" fontId="5" fillId="5" borderId="0" xfId="0" applyFont="1" applyFill="1"/>
    <xf numFmtId="3" fontId="5" fillId="5" borderId="3" xfId="0" applyNumberFormat="1" applyFont="1" applyFill="1" applyBorder="1"/>
    <xf numFmtId="44" fontId="5" fillId="5" borderId="0" xfId="4" applyFont="1" applyFill="1" applyBorder="1"/>
    <xf numFmtId="0" fontId="5" fillId="5" borderId="0" xfId="0" applyFont="1" applyFill="1" applyAlignment="1">
      <alignment horizontal="center"/>
    </xf>
    <xf numFmtId="10" fontId="5" fillId="5" borderId="0" xfId="0" applyNumberFormat="1" applyFont="1" applyFill="1"/>
    <xf numFmtId="3" fontId="5" fillId="5" borderId="0" xfId="0" applyNumberFormat="1" applyFont="1" applyFill="1"/>
    <xf numFmtId="169" fontId="5" fillId="5" borderId="0" xfId="0" applyNumberFormat="1" applyFont="1" applyFill="1"/>
    <xf numFmtId="0" fontId="5" fillId="5" borderId="0" xfId="0" applyFont="1" applyFill="1" applyAlignment="1">
      <alignment horizontal="left"/>
    </xf>
    <xf numFmtId="168" fontId="5" fillId="5" borderId="4" xfId="3" applyNumberFormat="1" applyFont="1" applyFill="1" applyBorder="1" applyAlignment="1">
      <alignment horizontal="right"/>
    </xf>
    <xf numFmtId="0" fontId="5" fillId="5" borderId="3" xfId="0" applyFont="1" applyFill="1" applyBorder="1"/>
    <xf numFmtId="0" fontId="5" fillId="5" borderId="3" xfId="0" applyFont="1" applyFill="1" applyBorder="1" applyAlignment="1">
      <alignment horizontal="center" wrapText="1"/>
    </xf>
    <xf numFmtId="0" fontId="18" fillId="5" borderId="3" xfId="0" applyFont="1" applyFill="1" applyBorder="1" applyAlignment="1">
      <alignment horizontal="center" wrapText="1"/>
    </xf>
    <xf numFmtId="0" fontId="5" fillId="5" borderId="0" xfId="0" quotePrefix="1" applyFont="1" applyFill="1" applyAlignment="1">
      <alignment horizontal="center"/>
    </xf>
    <xf numFmtId="4" fontId="13" fillId="5" borderId="3" xfId="0" applyNumberFormat="1" applyFont="1" applyFill="1" applyBorder="1" applyAlignment="1">
      <alignment horizontal="center"/>
    </xf>
    <xf numFmtId="0" fontId="21" fillId="5" borderId="0" xfId="0" applyFont="1" applyFill="1" applyAlignment="1">
      <alignment horizontal="center"/>
    </xf>
    <xf numFmtId="164" fontId="5" fillId="5" borderId="0" xfId="0" applyNumberFormat="1" applyFont="1" applyFill="1"/>
    <xf numFmtId="164" fontId="5" fillId="5" borderId="0" xfId="0" applyNumberFormat="1" applyFont="1" applyFill="1" applyAlignment="1">
      <alignment horizontal="right"/>
    </xf>
    <xf numFmtId="0" fontId="5" fillId="5" borderId="0" xfId="0" applyFont="1" applyFill="1" applyAlignment="1">
      <alignment horizontal="left" indent="2"/>
    </xf>
    <xf numFmtId="0" fontId="5" fillId="5" borderId="0" xfId="0" applyFont="1" applyFill="1" applyAlignment="1">
      <alignment horizontal="left" indent="3"/>
    </xf>
    <xf numFmtId="0" fontId="9" fillId="5" borderId="0" xfId="0" quotePrefix="1" applyFont="1" applyFill="1" applyAlignment="1">
      <alignment horizontal="center"/>
    </xf>
    <xf numFmtId="4" fontId="5" fillId="5" borderId="0" xfId="2" applyNumberFormat="1" applyFont="1" applyFill="1"/>
    <xf numFmtId="0" fontId="9" fillId="5" borderId="3" xfId="0" quotePrefix="1" applyFont="1" applyFill="1" applyBorder="1" applyAlignment="1">
      <alignment horizontal="center"/>
    </xf>
    <xf numFmtId="169" fontId="13" fillId="5" borderId="3" xfId="0" applyNumberFormat="1" applyFont="1" applyFill="1" applyBorder="1" applyAlignment="1">
      <alignment horizontal="left" indent="2"/>
    </xf>
    <xf numFmtId="3" fontId="5" fillId="5" borderId="3" xfId="0" applyNumberFormat="1" applyFont="1" applyFill="1" applyBorder="1" applyAlignment="1">
      <alignment horizontal="right"/>
    </xf>
    <xf numFmtId="38" fontId="5" fillId="5" borderId="0" xfId="0" applyNumberFormat="1" applyFont="1" applyFill="1"/>
    <xf numFmtId="43" fontId="5" fillId="5" borderId="3" xfId="1" applyFont="1" applyFill="1" applyBorder="1" applyAlignment="1">
      <alignment horizontal="right"/>
    </xf>
    <xf numFmtId="3" fontId="5" fillId="5" borderId="4" xfId="0" applyNumberFormat="1" applyFont="1" applyFill="1" applyBorder="1"/>
    <xf numFmtId="4" fontId="11" fillId="5" borderId="5" xfId="0" applyNumberFormat="1" applyFont="1" applyFill="1" applyBorder="1"/>
    <xf numFmtId="4" fontId="11" fillId="5" borderId="5" xfId="0" applyNumberFormat="1" applyFont="1" applyFill="1" applyBorder="1" applyAlignment="1">
      <alignment wrapText="1"/>
    </xf>
    <xf numFmtId="0" fontId="5" fillId="5" borderId="5" xfId="0" applyFont="1" applyFill="1" applyBorder="1" applyAlignment="1">
      <alignment horizontal="left" indent="3"/>
    </xf>
    <xf numFmtId="4" fontId="11" fillId="5" borderId="3" xfId="0" applyNumberFormat="1" applyFont="1" applyFill="1" applyBorder="1"/>
    <xf numFmtId="43" fontId="5" fillId="5" borderId="5" xfId="7" applyFont="1" applyFill="1" applyBorder="1"/>
    <xf numFmtId="43" fontId="5" fillId="5" borderId="0" xfId="7" applyFont="1" applyFill="1" applyBorder="1"/>
    <xf numFmtId="38" fontId="5" fillId="5" borderId="3" xfId="0" applyNumberFormat="1" applyFont="1" applyFill="1" applyBorder="1"/>
    <xf numFmtId="166" fontId="5" fillId="5" borderId="0" xfId="0" applyNumberFormat="1" applyFont="1" applyFill="1" applyAlignment="1">
      <alignment horizontal="center"/>
    </xf>
    <xf numFmtId="166" fontId="5" fillId="5" borderId="0" xfId="0" applyNumberFormat="1" applyFont="1" applyFill="1"/>
    <xf numFmtId="16" fontId="5" fillId="5" borderId="0" xfId="0" quotePrefix="1" applyNumberFormat="1" applyFont="1" applyFill="1" applyAlignment="1">
      <alignment horizontal="right"/>
    </xf>
    <xf numFmtId="0" fontId="5" fillId="5" borderId="0" xfId="0" quotePrefix="1" applyFont="1" applyFill="1" applyAlignment="1">
      <alignment horizontal="right"/>
    </xf>
    <xf numFmtId="166" fontId="5" fillId="5" borderId="8" xfId="0" applyNumberFormat="1" applyFont="1" applyFill="1" applyBorder="1" applyAlignment="1">
      <alignment horizontal="center"/>
    </xf>
    <xf numFmtId="170" fontId="5" fillId="5" borderId="0" xfId="6" applyFont="1" applyFill="1" applyBorder="1" applyAlignment="1">
      <alignment horizontal="right"/>
    </xf>
    <xf numFmtId="166" fontId="5" fillId="5" borderId="1" xfId="0" applyNumberFormat="1" applyFont="1" applyFill="1" applyBorder="1" applyAlignment="1">
      <alignment horizontal="center"/>
    </xf>
    <xf numFmtId="4" fontId="5" fillId="5" borderId="0" xfId="0" applyNumberFormat="1" applyFont="1" applyFill="1" applyAlignment="1">
      <alignment horizontal="left" indent="2"/>
    </xf>
    <xf numFmtId="38" fontId="5" fillId="5" borderId="0" xfId="0" quotePrefix="1" applyNumberFormat="1" applyFont="1" applyFill="1"/>
    <xf numFmtId="0" fontId="5" fillId="5" borderId="3" xfId="0" applyFont="1" applyFill="1" applyBorder="1" applyAlignment="1">
      <alignment horizontal="center"/>
    </xf>
    <xf numFmtId="7" fontId="5" fillId="5" borderId="0" xfId="0" applyNumberFormat="1" applyFont="1" applyFill="1"/>
    <xf numFmtId="7" fontId="5" fillId="5" borderId="3" xfId="0" applyNumberFormat="1" applyFont="1" applyFill="1" applyBorder="1"/>
    <xf numFmtId="0" fontId="11" fillId="5" borderId="0" xfId="0" applyFont="1" applyFill="1"/>
    <xf numFmtId="168" fontId="5" fillId="5" borderId="1" xfId="0" applyNumberFormat="1" applyFont="1" applyFill="1" applyBorder="1" applyAlignment="1">
      <alignment horizontal="right"/>
    </xf>
    <xf numFmtId="3" fontId="5" fillId="5" borderId="0" xfId="0" quotePrefix="1" applyNumberFormat="1" applyFont="1" applyFill="1" applyAlignment="1">
      <alignment horizontal="center"/>
    </xf>
    <xf numFmtId="168" fontId="5" fillId="5" borderId="5" xfId="0" applyNumberFormat="1" applyFont="1" applyFill="1" applyBorder="1" applyAlignment="1">
      <alignment horizontal="right"/>
    </xf>
    <xf numFmtId="168" fontId="5" fillId="5" borderId="3" xfId="0" applyNumberFormat="1" applyFont="1" applyFill="1" applyBorder="1" applyAlignment="1">
      <alignment horizontal="right"/>
    </xf>
    <xf numFmtId="4" fontId="5" fillId="5" borderId="0" xfId="0" applyNumberFormat="1" applyFont="1" applyFill="1" applyAlignment="1">
      <alignment horizontal="left" indent="2"/>
    </xf>
    <xf numFmtId="0" fontId="11" fillId="5" borderId="0" xfId="0" applyFont="1" applyFill="1" applyAlignment="1">
      <alignment horizontal="right"/>
    </xf>
    <xf numFmtId="0" fontId="5" fillId="0" borderId="0" xfId="2" applyFont="1" applyAlignment="1">
      <alignment horizontal="center"/>
    </xf>
    <xf numFmtId="4" fontId="5" fillId="0" borderId="0" xfId="2" applyNumberFormat="1" applyFont="1" applyAlignment="1">
      <alignment horizontal="left" indent="2"/>
    </xf>
    <xf numFmtId="4" fontId="4" fillId="0" borderId="0" xfId="2" applyNumberFormat="1" applyFont="1" applyAlignment="1">
      <alignment horizontal="left"/>
    </xf>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0" fontId="5" fillId="0" borderId="3" xfId="2" applyFont="1" applyBorder="1" applyAlignment="1">
      <alignment horizontal="left" wrapText="1"/>
    </xf>
    <xf numFmtId="0" fontId="5" fillId="0" borderId="0" xfId="2" applyFont="1" applyAlignment="1">
      <alignment horizontal="left" indent="3"/>
    </xf>
    <xf numFmtId="0" fontId="5" fillId="0" borderId="3" xfId="2" applyFont="1" applyBorder="1" applyAlignment="1">
      <alignment horizontal="left" indent="3"/>
    </xf>
    <xf numFmtId="2" fontId="5" fillId="0" borderId="0" xfId="2" applyNumberFormat="1" applyFont="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0" fontId="5" fillId="0" borderId="5" xfId="2" applyFont="1" applyBorder="1" applyAlignment="1">
      <alignment horizontal="left" indent="3"/>
    </xf>
    <xf numFmtId="0" fontId="5" fillId="0" borderId="0" xfId="2" applyFont="1" applyAlignment="1">
      <alignment horizontal="left" indent="2"/>
    </xf>
    <xf numFmtId="0" fontId="5" fillId="5" borderId="0" xfId="0" applyFont="1" applyFill="1" applyAlignment="1">
      <alignment horizontal="right"/>
    </xf>
    <xf numFmtId="0" fontId="5" fillId="5" borderId="0" xfId="0" applyFont="1" applyFill="1" applyAlignment="1">
      <alignment horizontal="center"/>
    </xf>
    <xf numFmtId="0" fontId="5" fillId="5" borderId="0" xfId="0" applyFont="1" applyFill="1" applyAlignment="1">
      <alignment horizontal="left"/>
    </xf>
    <xf numFmtId="3" fontId="5" fillId="5" borderId="0" xfId="0" quotePrefix="1" applyNumberFormat="1" applyFont="1" applyFill="1" applyAlignment="1">
      <alignment horizontal="center"/>
    </xf>
    <xf numFmtId="0" fontId="5" fillId="5" borderId="3" xfId="0" applyFont="1" applyFill="1" applyBorder="1" applyAlignment="1">
      <alignment horizontal="center"/>
    </xf>
    <xf numFmtId="0" fontId="5" fillId="5" borderId="0" xfId="0" applyFont="1" applyFill="1" applyAlignment="1">
      <alignment horizontal="left" indent="3"/>
    </xf>
    <xf numFmtId="0" fontId="5" fillId="0" borderId="5" xfId="2" applyFont="1" applyBorder="1" applyAlignment="1">
      <alignment horizontal="left" wrapText="1" indent="3"/>
    </xf>
    <xf numFmtId="166" fontId="5" fillId="0" borderId="0" xfId="2" applyNumberFormat="1" applyFont="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0" fontId="5" fillId="0" borderId="3" xfId="2" applyFont="1" applyBorder="1" applyAlignment="1">
      <alignment horizontal="center"/>
    </xf>
    <xf numFmtId="0" fontId="5" fillId="0" borderId="3" xfId="2" applyFont="1" applyBorder="1" applyAlignment="1">
      <alignment horizontal="center" wrapText="1"/>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0" xfId="0" applyFont="1" applyFill="1" applyAlignment="1">
      <alignment horizontal="left" indent="2"/>
    </xf>
    <xf numFmtId="0" fontId="5" fillId="5" borderId="3" xfId="0" applyFont="1" applyFill="1" applyBorder="1" applyAlignment="1">
      <alignment horizontal="left" wrapText="1"/>
    </xf>
    <xf numFmtId="0" fontId="5" fillId="5" borderId="5" xfId="0" applyFont="1" applyFill="1" applyBorder="1" applyAlignment="1">
      <alignment horizontal="left" indent="3"/>
    </xf>
    <xf numFmtId="3" fontId="5" fillId="0" borderId="0" xfId="2" quotePrefix="1" applyNumberFormat="1" applyFont="1" applyAlignment="1">
      <alignment horizontal="center"/>
    </xf>
    <xf numFmtId="0" fontId="23" fillId="0" borderId="0" xfId="2" applyFont="1" applyAlignment="1">
      <alignment horizontal="left"/>
    </xf>
    <xf numFmtId="2" fontId="5" fillId="5" borderId="0" xfId="0" applyNumberFormat="1"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5" fontId="5" fillId="5" borderId="3" xfId="3" applyNumberFormat="1" applyFont="1" applyFill="1" applyBorder="1" applyAlignment="1">
      <alignment horizontal="right"/>
    </xf>
    <xf numFmtId="3" fontId="5" fillId="0" borderId="0" xfId="2" applyNumberFormat="1" applyFont="1" applyBorder="1"/>
    <xf numFmtId="3" fontId="5" fillId="5" borderId="0" xfId="0" applyNumberFormat="1" applyFont="1" applyFill="1" applyBorder="1"/>
    <xf numFmtId="165" fontId="5" fillId="5" borderId="3" xfId="0" applyNumberFormat="1" applyFont="1" applyFill="1" applyBorder="1"/>
    <xf numFmtId="165" fontId="5" fillId="5" borderId="1" xfId="3" applyNumberFormat="1" applyFont="1" applyFill="1" applyBorder="1"/>
    <xf numFmtId="165" fontId="5" fillId="5" borderId="0" xfId="3" applyNumberFormat="1" applyFont="1" applyFill="1" applyBorder="1" applyAlignment="1">
      <alignment horizontal="right"/>
    </xf>
    <xf numFmtId="43" fontId="5" fillId="5" borderId="3" xfId="1" applyFont="1" applyFill="1" applyBorder="1"/>
    <xf numFmtId="0" fontId="31" fillId="6" borderId="0" xfId="1" applyNumberFormat="1" applyFont="1" applyFill="1" applyAlignment="1">
      <alignment horizontal="center"/>
    </xf>
    <xf numFmtId="3" fontId="5" fillId="5" borderId="5" xfId="0" applyNumberFormat="1" applyFont="1" applyFill="1" applyBorder="1"/>
    <xf numFmtId="0" fontId="11" fillId="5" borderId="0" xfId="0" applyFont="1" applyFill="1" applyBorder="1" applyAlignment="1">
      <alignment horizontal="center"/>
    </xf>
    <xf numFmtId="165" fontId="5" fillId="0" borderId="1" xfId="3" applyNumberFormat="1" applyFont="1" applyBorder="1"/>
    <xf numFmtId="3" fontId="31" fillId="5" borderId="3" xfId="2" applyNumberFormat="1" applyFont="1" applyFill="1" applyBorder="1" applyAlignment="1">
      <alignment horizontal="right"/>
    </xf>
    <xf numFmtId="0" fontId="31" fillId="6" borderId="3" xfId="1" applyNumberFormat="1" applyFont="1" applyFill="1" applyBorder="1" applyAlignment="1">
      <alignment horizontal="center"/>
    </xf>
    <xf numFmtId="43" fontId="31" fillId="6" borderId="0" xfId="1" applyFont="1" applyFill="1" applyAlignment="1">
      <alignment horizontal="center"/>
    </xf>
    <xf numFmtId="0" fontId="11" fillId="2" borderId="3" xfId="2" applyFont="1" applyFill="1" applyBorder="1" applyAlignment="1">
      <alignment horizontal="center"/>
    </xf>
    <xf numFmtId="17" fontId="31" fillId="0" borderId="0" xfId="2" quotePrefix="1" applyNumberFormat="1" applyFont="1" applyAlignment="1">
      <alignment vertical="top" wrapText="1"/>
    </xf>
    <xf numFmtId="17" fontId="31" fillId="0" borderId="0" xfId="2" applyNumberFormat="1" applyFont="1" applyAlignment="1">
      <alignment vertical="top" wrapText="1"/>
    </xf>
    <xf numFmtId="166" fontId="9" fillId="5" borderId="0" xfId="2" applyNumberFormat="1" applyFont="1" applyFill="1" applyAlignment="1">
      <alignment horizontal="left"/>
    </xf>
    <xf numFmtId="4" fontId="5" fillId="0" borderId="0" xfId="2" applyNumberFormat="1" applyFont="1" applyFill="1"/>
    <xf numFmtId="0" fontId="5" fillId="0" borderId="0" xfId="2" applyFont="1" applyFill="1"/>
    <xf numFmtId="165" fontId="5" fillId="0" borderId="0" xfId="3" applyFont="1" applyFill="1"/>
    <xf numFmtId="0" fontId="5" fillId="0" borderId="0" xfId="2" applyFont="1" applyFill="1" applyAlignment="1">
      <alignment horizontal="left" indent="2"/>
    </xf>
    <xf numFmtId="0" fontId="11" fillId="0" borderId="0" xfId="2" applyFont="1" applyFill="1"/>
    <xf numFmtId="168" fontId="5" fillId="0" borderId="0" xfId="2" applyNumberFormat="1" applyFont="1" applyFill="1"/>
    <xf numFmtId="164" fontId="5" fillId="0" borderId="0" xfId="2" applyNumberFormat="1" applyFont="1" applyFill="1"/>
    <xf numFmtId="0" fontId="23" fillId="0" borderId="0" xfId="0" applyFont="1" applyFill="1" applyAlignment="1">
      <alignment horizontal="left"/>
    </xf>
    <xf numFmtId="0" fontId="36" fillId="0" borderId="0" xfId="0" applyFont="1"/>
    <xf numFmtId="0" fontId="36" fillId="0" borderId="0" xfId="0" applyFont="1" applyAlignment="1">
      <alignment horizontal="left"/>
    </xf>
    <xf numFmtId="0" fontId="36" fillId="6" borderId="11" xfId="0" applyFont="1" applyFill="1" applyBorder="1" applyAlignment="1">
      <alignment horizontal="center"/>
    </xf>
    <xf numFmtId="0" fontId="37" fillId="0" borderId="0" xfId="0" applyFont="1"/>
    <xf numFmtId="43" fontId="36" fillId="0" borderId="3" xfId="1" applyFont="1" applyBorder="1" applyAlignment="1"/>
    <xf numFmtId="0" fontId="30" fillId="0" borderId="0" xfId="0" applyFont="1"/>
    <xf numFmtId="43" fontId="36" fillId="0" borderId="0" xfId="1" applyFont="1" applyBorder="1" applyAlignment="1"/>
    <xf numFmtId="0" fontId="36" fillId="8" borderId="0" xfId="0" applyFont="1" applyFill="1"/>
    <xf numFmtId="0" fontId="36" fillId="8" borderId="0" xfId="0" applyFont="1" applyFill="1" applyAlignment="1">
      <alignment horizontal="left"/>
    </xf>
    <xf numFmtId="0" fontId="30" fillId="8" borderId="0" xfId="0" applyFont="1" applyFill="1"/>
    <xf numFmtId="43" fontId="36" fillId="8" borderId="0" xfId="1" applyFont="1" applyFill="1" applyBorder="1" applyAlignment="1"/>
    <xf numFmtId="0" fontId="35" fillId="0" borderId="0" xfId="0" applyFont="1" applyAlignment="1">
      <alignment horizontal="center"/>
    </xf>
    <xf numFmtId="43" fontId="35" fillId="0" borderId="3" xfId="1" applyFont="1" applyBorder="1" applyAlignment="1"/>
    <xf numFmtId="37" fontId="35" fillId="0" borderId="3" xfId="1" applyNumberFormat="1" applyFont="1" applyBorder="1" applyAlignment="1"/>
    <xf numFmtId="43" fontId="36" fillId="9" borderId="10" xfId="1" applyFont="1" applyFill="1" applyBorder="1" applyAlignment="1"/>
    <xf numFmtId="43" fontId="36" fillId="0" borderId="10" xfId="1" applyFont="1" applyBorder="1" applyAlignment="1"/>
    <xf numFmtId="168" fontId="36" fillId="0" borderId="0" xfId="0" applyNumberFormat="1" applyFont="1"/>
    <xf numFmtId="0" fontId="39" fillId="0" borderId="0" xfId="16" applyFont="1"/>
    <xf numFmtId="0" fontId="39" fillId="0" borderId="0" xfId="16" applyFont="1" applyAlignment="1">
      <alignment horizontal="center"/>
    </xf>
    <xf numFmtId="0" fontId="39" fillId="0" borderId="0" xfId="16" quotePrefix="1" applyFont="1" applyAlignment="1">
      <alignment horizontal="left" indent="1"/>
    </xf>
    <xf numFmtId="49" fontId="39" fillId="0" borderId="0" xfId="16" applyNumberFormat="1" applyFont="1" applyAlignment="1">
      <alignment horizontal="center"/>
    </xf>
    <xf numFmtId="16" fontId="39" fillId="0" borderId="0" xfId="16" applyNumberFormat="1" applyFont="1"/>
    <xf numFmtId="0" fontId="40" fillId="0" borderId="13" xfId="16" applyFont="1" applyBorder="1" applyAlignment="1">
      <alignment horizontal="center"/>
    </xf>
    <xf numFmtId="9" fontId="40" fillId="0" borderId="13" xfId="16" applyNumberFormat="1" applyFont="1" applyBorder="1" applyAlignment="1">
      <alignment horizontal="center"/>
    </xf>
    <xf numFmtId="0" fontId="40" fillId="0" borderId="16" xfId="16" applyFont="1" applyBorder="1" applyAlignment="1">
      <alignment horizontal="center"/>
    </xf>
    <xf numFmtId="0" fontId="40" fillId="0" borderId="0" xfId="16" applyFont="1" applyAlignment="1">
      <alignment horizontal="center"/>
    </xf>
    <xf numFmtId="0" fontId="40" fillId="0" borderId="12" xfId="16" applyFont="1" applyBorder="1" applyAlignment="1">
      <alignment horizontal="center"/>
    </xf>
    <xf numFmtId="0" fontId="40" fillId="0" borderId="12" xfId="16" quotePrefix="1" applyFont="1" applyBorder="1" applyAlignment="1">
      <alignment horizontal="center"/>
    </xf>
    <xf numFmtId="0" fontId="40" fillId="0" borderId="11" xfId="16" applyFont="1" applyBorder="1" applyAlignment="1">
      <alignment horizontal="center"/>
    </xf>
    <xf numFmtId="0" fontId="40" fillId="0" borderId="11" xfId="16" quotePrefix="1" applyFont="1" applyBorder="1" applyAlignment="1">
      <alignment horizontal="center"/>
    </xf>
    <xf numFmtId="43" fontId="40" fillId="0" borderId="12" xfId="17" applyFont="1" applyBorder="1" applyAlignment="1">
      <alignment horizontal="center"/>
    </xf>
    <xf numFmtId="43" fontId="39" fillId="0" borderId="11" xfId="17" applyFont="1" applyBorder="1" applyAlignment="1">
      <alignment horizontal="center"/>
    </xf>
    <xf numFmtId="1" fontId="39" fillId="12" borderId="0" xfId="18" applyNumberFormat="1" applyFont="1" applyFill="1" applyAlignment="1">
      <alignment horizontal="center"/>
    </xf>
    <xf numFmtId="1" fontId="39" fillId="0" borderId="0" xfId="18" applyNumberFormat="1" applyFont="1"/>
    <xf numFmtId="41" fontId="41" fillId="0" borderId="17" xfId="18" applyNumberFormat="1" applyFont="1" applyBorder="1" applyAlignment="1">
      <alignment horizontal="center"/>
    </xf>
    <xf numFmtId="10" fontId="39" fillId="0" borderId="17" xfId="19" applyNumberFormat="1" applyFont="1" applyBorder="1"/>
    <xf numFmtId="10" fontId="39" fillId="0" borderId="0" xfId="19" applyNumberFormat="1" applyFont="1" applyBorder="1"/>
    <xf numFmtId="10" fontId="39" fillId="0" borderId="0" xfId="19" applyNumberFormat="1" applyFont="1"/>
    <xf numFmtId="43" fontId="39" fillId="0" borderId="17" xfId="16" applyNumberFormat="1" applyFont="1" applyBorder="1"/>
    <xf numFmtId="43" fontId="39" fillId="0" borderId="17" xfId="17" applyFont="1" applyBorder="1"/>
    <xf numFmtId="43" fontId="39" fillId="0" borderId="0" xfId="16" applyNumberFormat="1" applyFont="1"/>
    <xf numFmtId="49" fontId="39" fillId="0" borderId="0" xfId="18" applyNumberFormat="1" applyFont="1" applyAlignment="1">
      <alignment horizontal="center"/>
    </xf>
    <xf numFmtId="1" fontId="39" fillId="0" borderId="0" xfId="18" applyNumberFormat="1" applyFont="1" applyAlignment="1">
      <alignment horizontal="center"/>
    </xf>
    <xf numFmtId="1" fontId="39" fillId="0" borderId="0" xfId="18" quotePrefix="1" applyNumberFormat="1" applyFont="1" applyAlignment="1">
      <alignment horizontal="left"/>
    </xf>
    <xf numFmtId="41" fontId="41" fillId="0" borderId="17" xfId="18" quotePrefix="1" applyNumberFormat="1" applyFont="1" applyBorder="1" applyAlignment="1">
      <alignment horizontal="center"/>
    </xf>
    <xf numFmtId="1" fontId="43" fillId="0" borderId="0" xfId="18" applyNumberFormat="1" applyFont="1"/>
    <xf numFmtId="1" fontId="39" fillId="0" borderId="0" xfId="20" quotePrefix="1" applyNumberFormat="1" applyFont="1" applyFill="1" applyBorder="1" applyAlignment="1">
      <alignment horizontal="center"/>
    </xf>
    <xf numFmtId="1" fontId="39" fillId="0" borderId="0" xfId="20" quotePrefix="1" applyNumberFormat="1" applyFont="1" applyFill="1" applyBorder="1" applyAlignment="1"/>
    <xf numFmtId="41" fontId="41" fillId="0" borderId="17" xfId="20" quotePrefix="1" applyNumberFormat="1" applyFont="1" applyFill="1" applyBorder="1" applyAlignment="1">
      <alignment horizontal="center"/>
    </xf>
    <xf numFmtId="1" fontId="39" fillId="0" borderId="0" xfId="20" applyNumberFormat="1" applyFont="1" applyFill="1" applyBorder="1" applyAlignment="1">
      <alignment horizontal="center"/>
    </xf>
    <xf numFmtId="1" fontId="39" fillId="0" borderId="0" xfId="20" applyNumberFormat="1" applyFont="1" applyFill="1" applyBorder="1" applyAlignment="1"/>
    <xf numFmtId="41" fontId="41" fillId="0" borderId="17" xfId="20" applyNumberFormat="1" applyFont="1" applyFill="1" applyBorder="1" applyAlignment="1">
      <alignment horizontal="center"/>
    </xf>
    <xf numFmtId="1" fontId="39" fillId="0" borderId="0" xfId="20" quotePrefix="1" applyNumberFormat="1" applyFont="1" applyFill="1" applyBorder="1" applyAlignment="1">
      <alignment horizontal="left"/>
    </xf>
    <xf numFmtId="1" fontId="43" fillId="0" borderId="0" xfId="20" quotePrefix="1" applyNumberFormat="1" applyFont="1" applyFill="1" applyBorder="1" applyAlignment="1">
      <alignment horizontal="left"/>
    </xf>
    <xf numFmtId="176" fontId="39" fillId="0" borderId="0" xfId="16" applyNumberFormat="1" applyFont="1"/>
    <xf numFmtId="43" fontId="39" fillId="0" borderId="0" xfId="17" applyFont="1"/>
    <xf numFmtId="41" fontId="39" fillId="0" borderId="0" xfId="16" applyNumberFormat="1" applyFont="1" applyAlignment="1">
      <alignment horizontal="center"/>
    </xf>
    <xf numFmtId="43" fontId="39" fillId="0" borderId="3" xfId="16" applyNumberFormat="1" applyFont="1" applyBorder="1"/>
    <xf numFmtId="0" fontId="42" fillId="0" borderId="0" xfId="16" applyFont="1" applyAlignment="1">
      <alignment horizontal="center"/>
    </xf>
    <xf numFmtId="43" fontId="39" fillId="0" borderId="10" xfId="16" applyNumberFormat="1" applyFont="1" applyBorder="1"/>
    <xf numFmtId="43" fontId="40" fillId="0" borderId="0" xfId="16" applyNumberFormat="1" applyFont="1"/>
    <xf numFmtId="49" fontId="40" fillId="0" borderId="0" xfId="20" quotePrefix="1" applyNumberFormat="1" applyFont="1" applyAlignment="1">
      <alignment horizontal="left"/>
    </xf>
    <xf numFmtId="0" fontId="40" fillId="0" borderId="0" xfId="2" applyFont="1"/>
    <xf numFmtId="49" fontId="40" fillId="0" borderId="0" xfId="2" applyNumberFormat="1" applyFont="1" applyAlignment="1">
      <alignment horizontal="left"/>
    </xf>
    <xf numFmtId="49" fontId="40" fillId="0" borderId="0" xfId="20" applyNumberFormat="1" applyFont="1" applyAlignment="1">
      <alignment horizontal="left"/>
    </xf>
    <xf numFmtId="49" fontId="40" fillId="0" borderId="11" xfId="2" quotePrefix="1" applyNumberFormat="1" applyFont="1" applyBorder="1" applyAlignment="1">
      <alignment horizontal="center"/>
    </xf>
    <xf numFmtId="0" fontId="40" fillId="0" borderId="11" xfId="2" quotePrefix="1" applyFont="1" applyBorder="1" applyAlignment="1">
      <alignment horizontal="center"/>
    </xf>
    <xf numFmtId="49" fontId="44" fillId="0" borderId="0" xfId="2" quotePrefix="1" applyNumberFormat="1" applyFont="1" applyAlignment="1">
      <alignment horizontal="center" vertical="center"/>
    </xf>
    <xf numFmtId="177" fontId="44" fillId="0" borderId="0" xfId="2" applyNumberFormat="1" applyFont="1"/>
    <xf numFmtId="177" fontId="44" fillId="0" borderId="0" xfId="2" quotePrefix="1" applyNumberFormat="1" applyFont="1" applyAlignment="1">
      <alignment horizontal="left"/>
    </xf>
    <xf numFmtId="0" fontId="43" fillId="0" borderId="0" xfId="16" applyFont="1"/>
    <xf numFmtId="49" fontId="45" fillId="0" borderId="0" xfId="2" quotePrefix="1" applyNumberFormat="1" applyFont="1" applyAlignment="1">
      <alignment horizontal="center" vertical="center"/>
    </xf>
    <xf numFmtId="177" fontId="45" fillId="0" borderId="0" xfId="2" applyNumberFormat="1" applyFont="1"/>
    <xf numFmtId="0" fontId="40" fillId="0" borderId="0" xfId="16" applyFont="1"/>
    <xf numFmtId="0" fontId="45" fillId="0" borderId="0" xfId="16" quotePrefix="1" applyFont="1" applyAlignment="1">
      <alignment horizontal="center"/>
    </xf>
    <xf numFmtId="0" fontId="45" fillId="0" borderId="0" xfId="16" applyFont="1"/>
    <xf numFmtId="0" fontId="39" fillId="0" borderId="0" xfId="2" applyFont="1"/>
    <xf numFmtId="0" fontId="45" fillId="0" borderId="0" xfId="16" applyFont="1" applyAlignment="1">
      <alignment horizontal="center"/>
    </xf>
    <xf numFmtId="0" fontId="45" fillId="0" borderId="0" xfId="16" applyFont="1" applyAlignment="1">
      <alignment horizontal="left"/>
    </xf>
    <xf numFmtId="0" fontId="39" fillId="0" borderId="0" xfId="2" quotePrefix="1" applyFont="1" applyAlignment="1">
      <alignment horizontal="left"/>
    </xf>
    <xf numFmtId="49" fontId="44" fillId="0" borderId="0" xfId="2" applyNumberFormat="1" applyFont="1" applyAlignment="1">
      <alignment horizontal="center" vertical="center"/>
    </xf>
    <xf numFmtId="0" fontId="39" fillId="0" borderId="0" xfId="16" quotePrefix="1" applyFont="1" applyAlignment="1">
      <alignment horizontal="center"/>
    </xf>
    <xf numFmtId="0" fontId="39" fillId="0" borderId="0" xfId="16" quotePrefix="1" applyFont="1" applyAlignment="1">
      <alignment horizontal="left"/>
    </xf>
    <xf numFmtId="0" fontId="46" fillId="0" borderId="1" xfId="16" applyFont="1" applyBorder="1"/>
    <xf numFmtId="0" fontId="36" fillId="0" borderId="0" xfId="16" applyFont="1"/>
    <xf numFmtId="0" fontId="29" fillId="0" borderId="0" xfId="16" quotePrefix="1" applyFont="1" applyAlignment="1">
      <alignment horizontal="left"/>
    </xf>
    <xf numFmtId="0" fontId="29" fillId="0" borderId="0" xfId="16" applyFont="1"/>
    <xf numFmtId="0" fontId="36" fillId="0" borderId="0" xfId="16" quotePrefix="1" applyFont="1" applyAlignment="1">
      <alignment horizontal="left"/>
    </xf>
    <xf numFmtId="49" fontId="47" fillId="0" borderId="0" xfId="16" applyNumberFormat="1" applyFont="1"/>
    <xf numFmtId="4" fontId="47" fillId="0" borderId="0" xfId="16" applyNumberFormat="1" applyFont="1"/>
    <xf numFmtId="4" fontId="36" fillId="0" borderId="8" xfId="16" applyNumberFormat="1" applyFont="1" applyBorder="1"/>
    <xf numFmtId="4" fontId="47" fillId="0" borderId="8" xfId="16" applyNumberFormat="1" applyFont="1" applyBorder="1" applyAlignment="1">
      <alignment horizontal="left"/>
    </xf>
    <xf numFmtId="4" fontId="47" fillId="0" borderId="8" xfId="16" applyNumberFormat="1" applyFont="1" applyBorder="1"/>
    <xf numFmtId="4" fontId="36" fillId="0" borderId="0" xfId="16" applyNumberFormat="1" applyFont="1"/>
    <xf numFmtId="4" fontId="47" fillId="0" borderId="0" xfId="16" applyNumberFormat="1" applyFont="1" applyAlignment="1">
      <alignment horizontal="left"/>
    </xf>
    <xf numFmtId="0" fontId="48" fillId="0" borderId="0" xfId="16" quotePrefix="1" applyFont="1"/>
    <xf numFmtId="0" fontId="48" fillId="0" borderId="0" xfId="16" quotePrefix="1" applyFont="1" applyAlignment="1">
      <alignment horizontal="right"/>
    </xf>
    <xf numFmtId="7" fontId="48" fillId="0" borderId="0" xfId="16" applyNumberFormat="1" applyFont="1" applyAlignment="1">
      <alignment horizontal="left"/>
    </xf>
    <xf numFmtId="49" fontId="48" fillId="0" borderId="0" xfId="16" applyNumberFormat="1" applyFont="1"/>
    <xf numFmtId="49" fontId="48" fillId="0" borderId="0" xfId="16" applyNumberFormat="1" applyFont="1" applyProtection="1">
      <protection locked="0"/>
    </xf>
    <xf numFmtId="166" fontId="48" fillId="0" borderId="0" xfId="16" applyNumberFormat="1" applyFont="1" applyAlignment="1">
      <alignment horizontal="center"/>
    </xf>
    <xf numFmtId="166" fontId="48" fillId="0" borderId="0" xfId="16" applyNumberFormat="1" applyFont="1"/>
    <xf numFmtId="0" fontId="48" fillId="0" borderId="0" xfId="16" applyFont="1" applyAlignment="1">
      <alignment horizontal="center"/>
    </xf>
    <xf numFmtId="7" fontId="39" fillId="0" borderId="0" xfId="16" applyNumberFormat="1" applyFont="1" applyAlignment="1">
      <alignment horizontal="center"/>
    </xf>
    <xf numFmtId="164" fontId="36" fillId="0" borderId="0" xfId="16" applyNumberFormat="1" applyFont="1" applyAlignment="1">
      <alignment wrapText="1"/>
    </xf>
    <xf numFmtId="4" fontId="36" fillId="0" borderId="0" xfId="16" applyNumberFormat="1" applyFont="1" applyAlignment="1">
      <alignment horizontal="center" wrapText="1"/>
    </xf>
    <xf numFmtId="165" fontId="36" fillId="0" borderId="0" xfId="21" quotePrefix="1" applyFont="1" applyBorder="1" applyAlignment="1">
      <alignment horizontal="center"/>
    </xf>
    <xf numFmtId="7" fontId="30" fillId="0" borderId="0" xfId="16" quotePrefix="1" applyNumberFormat="1" applyFont="1" applyAlignment="1">
      <alignment horizontal="center"/>
    </xf>
    <xf numFmtId="7" fontId="30" fillId="0" borderId="0" xfId="16" applyNumberFormat="1" applyFont="1" applyAlignment="1">
      <alignment horizontal="center"/>
    </xf>
    <xf numFmtId="165" fontId="36" fillId="0" borderId="0" xfId="21" applyFont="1" applyBorder="1" applyAlignment="1">
      <alignment horizontal="center" wrapText="1"/>
    </xf>
    <xf numFmtId="7" fontId="30" fillId="0" borderId="3" xfId="16" quotePrefix="1" applyNumberFormat="1" applyFont="1" applyBorder="1" applyAlignment="1">
      <alignment horizontal="center"/>
    </xf>
    <xf numFmtId="0" fontId="30" fillId="0" borderId="3" xfId="16" applyFont="1" applyBorder="1" applyAlignment="1">
      <alignment horizontal="center"/>
    </xf>
    <xf numFmtId="4" fontId="36" fillId="0" borderId="3" xfId="16" applyNumberFormat="1" applyFont="1" applyBorder="1" applyAlignment="1">
      <alignment horizontal="center" wrapText="1"/>
    </xf>
    <xf numFmtId="165" fontId="49" fillId="0" borderId="3" xfId="21" quotePrefix="1" applyFont="1" applyBorder="1" applyAlignment="1">
      <alignment horizontal="center"/>
    </xf>
    <xf numFmtId="0" fontId="46" fillId="0" borderId="3" xfId="16" quotePrefix="1" applyFont="1" applyBorder="1"/>
    <xf numFmtId="0" fontId="36" fillId="0" borderId="5" xfId="16" quotePrefix="1" applyFont="1" applyBorder="1" applyAlignment="1">
      <alignment horizontal="center"/>
    </xf>
    <xf numFmtId="4" fontId="36" fillId="0" borderId="5" xfId="16" quotePrefix="1" applyNumberFormat="1" applyFont="1" applyBorder="1" applyAlignment="1">
      <alignment horizontal="center"/>
    </xf>
    <xf numFmtId="165" fontId="36" fillId="0" borderId="5" xfId="21" quotePrefix="1" applyFont="1" applyBorder="1" applyAlignment="1">
      <alignment horizontal="center"/>
    </xf>
    <xf numFmtId="43" fontId="35" fillId="6" borderId="4" xfId="20" applyFont="1" applyFill="1" applyBorder="1" applyAlignment="1"/>
    <xf numFmtId="43" fontId="36" fillId="0" borderId="0" xfId="20" applyFont="1" applyFill="1" applyBorder="1" applyAlignment="1"/>
    <xf numFmtId="178" fontId="36" fillId="0" borderId="0" xfId="16" applyNumberFormat="1" applyFont="1"/>
    <xf numFmtId="43" fontId="36" fillId="0" borderId="0" xfId="20" applyFont="1" applyBorder="1" applyAlignment="1"/>
    <xf numFmtId="43" fontId="35" fillId="6" borderId="0" xfId="20" applyFont="1" applyFill="1" applyBorder="1" applyAlignment="1"/>
    <xf numFmtId="43" fontId="35" fillId="6" borderId="3" xfId="20" applyFont="1" applyFill="1" applyBorder="1" applyAlignment="1"/>
    <xf numFmtId="43" fontId="36" fillId="0" borderId="4" xfId="20" applyFont="1" applyBorder="1" applyAlignment="1"/>
    <xf numFmtId="43" fontId="36" fillId="0" borderId="4" xfId="20" applyFont="1" applyFill="1" applyBorder="1" applyAlignment="1"/>
    <xf numFmtId="178" fontId="36" fillId="0" borderId="4" xfId="16" applyNumberFormat="1" applyFont="1" applyBorder="1"/>
    <xf numFmtId="0" fontId="36" fillId="0" borderId="0" xfId="16" applyFont="1" applyAlignment="1">
      <alignment horizontal="left" indent="2"/>
    </xf>
    <xf numFmtId="43" fontId="36" fillId="0" borderId="5" xfId="20" applyFont="1" applyBorder="1" applyAlignment="1"/>
    <xf numFmtId="2" fontId="36" fillId="0" borderId="0" xfId="16" applyNumberFormat="1" applyFont="1" applyAlignment="1">
      <alignment horizontal="center"/>
    </xf>
    <xf numFmtId="0" fontId="36" fillId="0" borderId="0" xfId="16" applyFont="1" applyAlignment="1">
      <alignment horizontal="right"/>
    </xf>
    <xf numFmtId="0" fontId="36" fillId="0" borderId="0" xfId="16" applyFont="1" applyAlignment="1">
      <alignment horizontal="left" indent="1"/>
    </xf>
    <xf numFmtId="0" fontId="36" fillId="0" borderId="0" xfId="16" applyFont="1" applyAlignment="1">
      <alignment horizontal="left"/>
    </xf>
    <xf numFmtId="168" fontId="36" fillId="0" borderId="0" xfId="21" quotePrefix="1" applyNumberFormat="1" applyFont="1" applyBorder="1" applyAlignment="1">
      <alignment horizontal="center"/>
    </xf>
    <xf numFmtId="166" fontId="36" fillId="0" borderId="0" xfId="16" applyNumberFormat="1" applyFont="1"/>
    <xf numFmtId="168" fontId="36" fillId="0" borderId="0" xfId="21" applyNumberFormat="1" applyFont="1" applyBorder="1" applyAlignment="1">
      <alignment horizontal="center"/>
    </xf>
    <xf numFmtId="0" fontId="30" fillId="0" borderId="3" xfId="16" quotePrefix="1" applyFont="1" applyBorder="1" applyAlignment="1">
      <alignment horizontal="center"/>
    </xf>
    <xf numFmtId="2" fontId="30" fillId="0" borderId="3" xfId="16" applyNumberFormat="1" applyFont="1" applyBorder="1"/>
    <xf numFmtId="165" fontId="40" fillId="0" borderId="3" xfId="21" applyFont="1" applyBorder="1" applyAlignment="1">
      <alignment horizontal="center" wrapText="1"/>
    </xf>
    <xf numFmtId="43" fontId="51" fillId="6" borderId="4" xfId="20" applyFont="1" applyFill="1" applyBorder="1" applyAlignment="1"/>
    <xf numFmtId="4" fontId="30" fillId="0" borderId="4" xfId="16" applyNumberFormat="1" applyFont="1" applyBorder="1"/>
    <xf numFmtId="43" fontId="51" fillId="6" borderId="0" xfId="20" applyFont="1" applyFill="1" applyBorder="1" applyAlignment="1"/>
    <xf numFmtId="4" fontId="30" fillId="0" borderId="0" xfId="16" applyNumberFormat="1" applyFont="1"/>
    <xf numFmtId="43" fontId="51" fillId="6" borderId="3" xfId="20" applyFont="1" applyFill="1" applyBorder="1" applyAlignment="1"/>
    <xf numFmtId="43" fontId="36" fillId="0" borderId="3" xfId="20" applyFont="1" applyFill="1" applyBorder="1" applyAlignment="1"/>
    <xf numFmtId="43" fontId="36" fillId="0" borderId="3" xfId="20" applyFont="1" applyBorder="1" applyAlignment="1"/>
    <xf numFmtId="0" fontId="36" fillId="0" borderId="0" xfId="16" quotePrefix="1" applyFont="1" applyAlignment="1">
      <alignment horizontal="right"/>
    </xf>
    <xf numFmtId="166" fontId="36" fillId="0" borderId="0" xfId="16" applyNumberFormat="1" applyFont="1" applyAlignment="1">
      <alignment horizontal="right"/>
    </xf>
    <xf numFmtId="2" fontId="36" fillId="0" borderId="0" xfId="16" applyNumberFormat="1" applyFont="1"/>
    <xf numFmtId="2" fontId="36" fillId="0" borderId="0" xfId="16" quotePrefix="1" applyNumberFormat="1" applyFont="1" applyAlignment="1">
      <alignment horizontal="right"/>
    </xf>
    <xf numFmtId="179" fontId="36" fillId="0" borderId="9" xfId="20" applyNumberFormat="1" applyFont="1" applyBorder="1" applyAlignment="1"/>
    <xf numFmtId="166" fontId="52" fillId="0" borderId="0" xfId="16" applyNumberFormat="1" applyFont="1" applyAlignment="1">
      <alignment horizontal="right"/>
    </xf>
    <xf numFmtId="0" fontId="53" fillId="0" borderId="0" xfId="16" quotePrefix="1" applyFont="1" applyAlignment="1">
      <alignment horizontal="left" vertical="center" indent="2"/>
    </xf>
    <xf numFmtId="0" fontId="36" fillId="0" borderId="0" xfId="16" applyFont="1" applyAlignment="1">
      <alignment horizontal="left" vertical="center" indent="2"/>
    </xf>
    <xf numFmtId="166" fontId="52" fillId="0" borderId="0" xfId="16" applyNumberFormat="1" applyFont="1" applyAlignment="1">
      <alignment horizontal="left" vertical="center" indent="2"/>
    </xf>
    <xf numFmtId="2" fontId="36" fillId="0" borderId="0" xfId="16" applyNumberFormat="1" applyFont="1" applyAlignment="1">
      <alignment horizontal="left" vertical="center" indent="2"/>
    </xf>
    <xf numFmtId="43" fontId="36" fillId="0" borderId="0" xfId="20" applyFont="1" applyBorder="1" applyAlignment="1">
      <alignment horizontal="left" vertical="center" indent="2"/>
    </xf>
    <xf numFmtId="0" fontId="53" fillId="0" borderId="0" xfId="16" applyFont="1" applyAlignment="1">
      <alignment horizontal="left" vertical="top" indent="2"/>
    </xf>
    <xf numFmtId="0" fontId="53" fillId="0" borderId="0" xfId="16" applyFont="1" applyAlignment="1">
      <alignment horizontal="left" indent="2"/>
    </xf>
    <xf numFmtId="4" fontId="36" fillId="0" borderId="0" xfId="16" quotePrefix="1" applyNumberFormat="1" applyFont="1" applyAlignment="1">
      <alignment horizontal="center"/>
    </xf>
    <xf numFmtId="44" fontId="36" fillId="0" borderId="0" xfId="20" applyNumberFormat="1" applyFont="1" applyAlignment="1">
      <alignment horizontal="right"/>
    </xf>
    <xf numFmtId="2" fontId="36" fillId="0" borderId="0" xfId="16" quotePrefix="1" applyNumberFormat="1" applyFont="1" applyAlignment="1">
      <alignment horizontal="center"/>
    </xf>
    <xf numFmtId="10" fontId="36" fillId="0" borderId="0" xfId="19" applyNumberFormat="1" applyFont="1" applyAlignment="1">
      <alignment horizontal="center"/>
    </xf>
    <xf numFmtId="44" fontId="36" fillId="0" borderId="0" xfId="16" applyNumberFormat="1" applyFont="1"/>
    <xf numFmtId="17" fontId="30" fillId="0" borderId="0" xfId="16" quotePrefix="1" applyNumberFormat="1" applyFont="1" applyAlignment="1">
      <alignment horizontal="center"/>
    </xf>
    <xf numFmtId="166" fontId="36" fillId="0" borderId="0" xfId="16" applyNumberFormat="1" applyFont="1" applyAlignment="1">
      <alignment horizontal="center"/>
    </xf>
    <xf numFmtId="0" fontId="54" fillId="0" borderId="0" xfId="16" quotePrefix="1" applyFont="1" applyAlignment="1">
      <alignment horizontal="center"/>
    </xf>
    <xf numFmtId="0" fontId="36" fillId="0" borderId="3" xfId="16" applyFont="1" applyBorder="1"/>
    <xf numFmtId="0" fontId="36" fillId="0" borderId="3" xfId="16" quotePrefix="1" applyFont="1" applyBorder="1" applyAlignment="1">
      <alignment horizontal="center"/>
    </xf>
    <xf numFmtId="0" fontId="36" fillId="0" borderId="3" xfId="16" applyFont="1" applyBorder="1" applyAlignment="1">
      <alignment horizontal="center"/>
    </xf>
    <xf numFmtId="0" fontId="54" fillId="0" borderId="3" xfId="16" quotePrefix="1" applyFont="1" applyBorder="1" applyAlignment="1">
      <alignment horizontal="center"/>
    </xf>
    <xf numFmtId="0" fontId="36" fillId="0" borderId="0" xfId="16" applyFont="1" applyAlignment="1">
      <alignment horizontal="center"/>
    </xf>
    <xf numFmtId="168" fontId="54" fillId="10" borderId="0" xfId="21" applyNumberFormat="1" applyFont="1" applyFill="1" applyBorder="1" applyAlignment="1"/>
    <xf numFmtId="0" fontId="36" fillId="0" borderId="0" xfId="16" quotePrefix="1" applyFont="1" applyAlignment="1">
      <alignment horizontal="center"/>
    </xf>
    <xf numFmtId="43" fontId="36" fillId="0" borderId="0" xfId="16" applyNumberFormat="1" applyFont="1" applyAlignment="1">
      <alignment horizontal="right"/>
    </xf>
    <xf numFmtId="43" fontId="52" fillId="0" borderId="3" xfId="20" applyFont="1" applyBorder="1" applyAlignment="1">
      <alignment horizontal="center"/>
    </xf>
    <xf numFmtId="4" fontId="35" fillId="10" borderId="3" xfId="16" applyNumberFormat="1" applyFont="1" applyFill="1" applyBorder="1" applyAlignment="1">
      <alignment horizontal="center"/>
    </xf>
    <xf numFmtId="4" fontId="55" fillId="0" borderId="0" xfId="16" applyNumberFormat="1" applyFont="1"/>
    <xf numFmtId="0" fontId="48" fillId="0" borderId="0" xfId="16" quotePrefix="1" applyFont="1" applyAlignment="1">
      <alignment horizontal="center"/>
    </xf>
    <xf numFmtId="169" fontId="52" fillId="0" borderId="0" xfId="16" applyNumberFormat="1" applyFont="1" applyAlignment="1">
      <alignment horizontal="center"/>
    </xf>
    <xf numFmtId="169" fontId="52" fillId="0" borderId="0" xfId="16" applyNumberFormat="1" applyFont="1"/>
    <xf numFmtId="0" fontId="49" fillId="0" borderId="0" xfId="16" quotePrefix="1" applyFont="1" applyAlignment="1">
      <alignment horizontal="left"/>
    </xf>
    <xf numFmtId="0" fontId="49" fillId="0" borderId="0" xfId="16" applyFont="1"/>
    <xf numFmtId="41" fontId="35" fillId="10" borderId="0" xfId="20" applyNumberFormat="1" applyFont="1" applyFill="1" applyBorder="1" applyAlignment="1"/>
    <xf numFmtId="169" fontId="36" fillId="0" borderId="0" xfId="16" applyNumberFormat="1" applyFont="1" applyAlignment="1">
      <alignment horizontal="center"/>
    </xf>
    <xf numFmtId="43" fontId="36" fillId="0" borderId="0" xfId="16" applyNumberFormat="1" applyFont="1"/>
    <xf numFmtId="0" fontId="36" fillId="0" borderId="0" xfId="16" quotePrefix="1" applyFont="1"/>
    <xf numFmtId="41" fontId="35" fillId="0" borderId="0" xfId="20" applyNumberFormat="1" applyFont="1" applyFill="1" applyBorder="1" applyAlignment="1"/>
    <xf numFmtId="0" fontId="36" fillId="0" borderId="0" xfId="16" quotePrefix="1" applyFont="1" applyAlignment="1">
      <alignment horizontal="left" wrapText="1"/>
    </xf>
    <xf numFmtId="43" fontId="36" fillId="0" borderId="0" xfId="20" applyFont="1"/>
    <xf numFmtId="0" fontId="55" fillId="0" borderId="0" xfId="16" applyFont="1"/>
    <xf numFmtId="0" fontId="55" fillId="0" borderId="0" xfId="16" quotePrefix="1" applyFont="1" applyAlignment="1">
      <alignment horizontal="left"/>
    </xf>
    <xf numFmtId="4" fontId="36" fillId="0" borderId="3" xfId="16" applyNumberFormat="1" applyFont="1" applyBorder="1" applyAlignment="1">
      <alignment horizontal="center"/>
    </xf>
    <xf numFmtId="181" fontId="35" fillId="10" borderId="0" xfId="16" applyNumberFormat="1" applyFont="1" applyFill="1"/>
    <xf numFmtId="16" fontId="36" fillId="0" borderId="0" xfId="16" quotePrefix="1" applyNumberFormat="1" applyFont="1" applyAlignment="1">
      <alignment horizontal="right"/>
    </xf>
    <xf numFmtId="170" fontId="36" fillId="0" borderId="0" xfId="22" applyFont="1" applyBorder="1" applyAlignment="1">
      <alignment horizontal="right"/>
    </xf>
    <xf numFmtId="170" fontId="36" fillId="0" borderId="0" xfId="22" quotePrefix="1" applyFont="1" applyBorder="1" applyAlignment="1">
      <alignment horizontal="right"/>
    </xf>
    <xf numFmtId="170" fontId="36" fillId="0" borderId="0" xfId="22" applyFont="1" applyBorder="1" applyAlignment="1"/>
    <xf numFmtId="170" fontId="36" fillId="0" borderId="2" xfId="22" quotePrefix="1" applyFont="1" applyBorder="1" applyAlignment="1">
      <alignment horizontal="right"/>
    </xf>
    <xf numFmtId="2" fontId="58" fillId="0" borderId="0" xfId="16" applyNumberFormat="1" applyFont="1" applyAlignment="1">
      <alignment horizontal="left" indent="3"/>
    </xf>
    <xf numFmtId="4" fontId="36" fillId="0" borderId="0" xfId="16" applyNumberFormat="1" applyFont="1" applyAlignment="1">
      <alignment horizontal="center"/>
    </xf>
    <xf numFmtId="38" fontId="35" fillId="10" borderId="0" xfId="16" quotePrefix="1" applyNumberFormat="1" applyFont="1" applyFill="1"/>
    <xf numFmtId="0" fontId="30" fillId="0" borderId="0" xfId="16" applyFont="1" applyAlignment="1">
      <alignment horizontal="right"/>
    </xf>
    <xf numFmtId="0" fontId="30" fillId="0" borderId="0" xfId="16" applyFont="1"/>
    <xf numFmtId="4" fontId="36" fillId="0" borderId="0" xfId="16" applyNumberFormat="1" applyFont="1" applyAlignment="1">
      <alignment horizontal="left"/>
    </xf>
    <xf numFmtId="38" fontId="36" fillId="0" borderId="0" xfId="16" quotePrefix="1" applyNumberFormat="1" applyFont="1"/>
    <xf numFmtId="7" fontId="36" fillId="0" borderId="0" xfId="16" applyNumberFormat="1" applyFont="1" applyAlignment="1">
      <alignment horizontal="center"/>
    </xf>
    <xf numFmtId="7" fontId="36" fillId="0" borderId="0" xfId="16" applyNumberFormat="1" applyFont="1"/>
    <xf numFmtId="7" fontId="36" fillId="0" borderId="3" xfId="16" applyNumberFormat="1" applyFont="1" applyBorder="1"/>
    <xf numFmtId="3" fontId="36" fillId="0" borderId="0" xfId="16" quotePrefix="1" applyNumberFormat="1" applyFont="1" applyAlignment="1">
      <alignment horizontal="center"/>
    </xf>
    <xf numFmtId="16" fontId="36" fillId="0" borderId="0" xfId="16" applyNumberFormat="1" applyFont="1"/>
    <xf numFmtId="168" fontId="36" fillId="0" borderId="0" xfId="16" applyNumberFormat="1" applyFont="1"/>
    <xf numFmtId="0" fontId="30" fillId="6" borderId="11" xfId="16" applyFont="1" applyFill="1" applyBorder="1" applyAlignment="1">
      <alignment horizontal="center"/>
    </xf>
    <xf numFmtId="0" fontId="36" fillId="6" borderId="11" xfId="16" applyFont="1" applyFill="1" applyBorder="1" applyAlignment="1">
      <alignment horizontal="center"/>
    </xf>
    <xf numFmtId="0" fontId="37" fillId="0" borderId="0" xfId="16" applyFont="1"/>
    <xf numFmtId="0" fontId="36" fillId="8" borderId="0" xfId="16" applyFont="1" applyFill="1"/>
    <xf numFmtId="0" fontId="36" fillId="8" borderId="0" xfId="16" applyFont="1" applyFill="1" applyAlignment="1">
      <alignment horizontal="left"/>
    </xf>
    <xf numFmtId="0" fontId="30" fillId="8" borderId="0" xfId="16" applyFont="1" applyFill="1"/>
    <xf numFmtId="43" fontId="36" fillId="8" borderId="0" xfId="20" applyFont="1" applyFill="1" applyBorder="1" applyAlignment="1"/>
    <xf numFmtId="0" fontId="35" fillId="0" borderId="0" xfId="16" applyFont="1" applyAlignment="1">
      <alignment horizontal="center"/>
    </xf>
    <xf numFmtId="43" fontId="35" fillId="0" borderId="3" xfId="20" applyFont="1" applyBorder="1" applyAlignment="1"/>
    <xf numFmtId="37" fontId="35" fillId="0" borderId="3" xfId="20" applyNumberFormat="1" applyFont="1" applyBorder="1" applyAlignment="1"/>
    <xf numFmtId="43" fontId="36" fillId="9" borderId="10" xfId="20" applyFont="1" applyFill="1" applyBorder="1" applyAlignment="1"/>
    <xf numFmtId="0" fontId="48" fillId="0" borderId="0" xfId="16" applyFont="1" applyAlignment="1">
      <alignment horizontal="right"/>
    </xf>
    <xf numFmtId="7" fontId="59" fillId="0" borderId="0" xfId="16" quotePrefix="1" applyNumberFormat="1" applyFont="1" applyAlignment="1">
      <alignment horizontal="center"/>
    </xf>
    <xf numFmtId="17" fontId="59" fillId="0" borderId="0" xfId="16" quotePrefix="1" applyNumberFormat="1" applyFont="1" applyAlignment="1">
      <alignment horizontal="center"/>
    </xf>
    <xf numFmtId="7" fontId="59" fillId="0" borderId="0" xfId="16" applyNumberFormat="1" applyFont="1" applyAlignment="1">
      <alignment horizontal="center"/>
    </xf>
    <xf numFmtId="2" fontId="48" fillId="0" borderId="0" xfId="16" quotePrefix="1" applyNumberFormat="1" applyFont="1" applyAlignment="1">
      <alignment horizontal="center"/>
    </xf>
    <xf numFmtId="0" fontId="60" fillId="0" borderId="0" xfId="16" quotePrefix="1" applyFont="1" applyAlignment="1">
      <alignment horizontal="center"/>
    </xf>
    <xf numFmtId="43" fontId="48" fillId="0" borderId="0" xfId="20" applyFont="1" applyFill="1" applyBorder="1" applyAlignment="1"/>
    <xf numFmtId="0" fontId="48" fillId="0" borderId="0" xfId="16" applyFont="1"/>
    <xf numFmtId="0" fontId="23" fillId="0" borderId="0" xfId="16" applyFont="1" applyAlignment="1">
      <alignment horizontal="left" vertical="center"/>
    </xf>
    <xf numFmtId="0" fontId="28" fillId="0" borderId="0" xfId="16" applyFont="1" applyAlignment="1">
      <alignment horizontal="left" vertical="center" wrapText="1"/>
    </xf>
    <xf numFmtId="0" fontId="61" fillId="0" borderId="0" xfId="14" applyFont="1" applyAlignment="1">
      <alignment horizontal="left"/>
    </xf>
    <xf numFmtId="0" fontId="1" fillId="0" borderId="0" xfId="14" applyAlignment="1">
      <alignment horizontal="center"/>
    </xf>
    <xf numFmtId="0" fontId="1" fillId="0" borderId="0" xfId="14"/>
    <xf numFmtId="43" fontId="0" fillId="0" borderId="0" xfId="15" applyFont="1"/>
    <xf numFmtId="43" fontId="61" fillId="0" borderId="0" xfId="20" applyFont="1"/>
    <xf numFmtId="43" fontId="1" fillId="0" borderId="0" xfId="20" applyFont="1"/>
    <xf numFmtId="0" fontId="62" fillId="0" borderId="0" xfId="14" applyFont="1"/>
    <xf numFmtId="43" fontId="63" fillId="0" borderId="0" xfId="15" applyFont="1"/>
    <xf numFmtId="0" fontId="34" fillId="0" borderId="0" xfId="14" applyFont="1"/>
    <xf numFmtId="0" fontId="34" fillId="0" borderId="0" xfId="14" applyFont="1" applyAlignment="1">
      <alignment horizontal="center"/>
    </xf>
    <xf numFmtId="43" fontId="64" fillId="0" borderId="0" xfId="15" applyFont="1" applyAlignment="1">
      <alignment horizontal="center"/>
    </xf>
    <xf numFmtId="43" fontId="65" fillId="0" borderId="0" xfId="20" applyFont="1" applyAlignment="1">
      <alignment horizontal="center"/>
    </xf>
    <xf numFmtId="43" fontId="34" fillId="0" borderId="0" xfId="20" applyFont="1" applyAlignment="1">
      <alignment horizontal="center"/>
    </xf>
    <xf numFmtId="0" fontId="34" fillId="0" borderId="0" xfId="14" applyFont="1" applyAlignment="1">
      <alignment horizontal="center" wrapText="1"/>
    </xf>
    <xf numFmtId="49" fontId="1" fillId="0" borderId="0" xfId="14" applyNumberFormat="1" applyAlignment="1">
      <alignment horizontal="center"/>
    </xf>
    <xf numFmtId="43" fontId="2" fillId="0" borderId="0" xfId="15" applyFont="1" applyAlignment="1">
      <alignment horizontal="center"/>
    </xf>
    <xf numFmtId="43" fontId="1" fillId="0" borderId="0" xfId="20" applyFont="1" applyAlignment="1">
      <alignment horizontal="center"/>
    </xf>
    <xf numFmtId="43" fontId="61" fillId="0" borderId="0" xfId="20" applyFont="1" applyAlignment="1">
      <alignment horizontal="center"/>
    </xf>
    <xf numFmtId="43" fontId="1" fillId="0" borderId="0" xfId="14" applyNumberFormat="1"/>
    <xf numFmtId="43" fontId="2" fillId="0" borderId="0" xfId="15" applyFont="1"/>
    <xf numFmtId="43" fontId="2" fillId="0" borderId="0" xfId="20" applyFont="1" applyFill="1"/>
    <xf numFmtId="43" fontId="0" fillId="0" borderId="0" xfId="15" applyFont="1" applyFill="1"/>
    <xf numFmtId="43" fontId="0" fillId="0" borderId="0" xfId="20" applyFont="1" applyFill="1"/>
    <xf numFmtId="43" fontId="61" fillId="0" borderId="0" xfId="20" applyFont="1" applyFill="1"/>
    <xf numFmtId="43" fontId="1" fillId="0" borderId="0" xfId="20" applyFont="1" applyFill="1"/>
    <xf numFmtId="43" fontId="2" fillId="0" borderId="0" xfId="15" applyFont="1" applyFill="1"/>
    <xf numFmtId="0" fontId="66" fillId="0" borderId="0" xfId="14" applyFont="1" applyAlignment="1">
      <alignment horizontal="center"/>
    </xf>
    <xf numFmtId="0" fontId="66" fillId="0" borderId="0" xfId="14" applyFont="1"/>
    <xf numFmtId="43" fontId="67" fillId="0" borderId="0" xfId="15" applyFont="1" applyFill="1"/>
    <xf numFmtId="0" fontId="33" fillId="0" borderId="0" xfId="14" applyFont="1" applyAlignment="1">
      <alignment horizontal="center"/>
    </xf>
    <xf numFmtId="0" fontId="33" fillId="0" borderId="0" xfId="14" applyFont="1"/>
    <xf numFmtId="43" fontId="67" fillId="0" borderId="0" xfId="15" applyFont="1"/>
    <xf numFmtId="43" fontId="67" fillId="0" borderId="0" xfId="20" applyFont="1" applyFill="1"/>
    <xf numFmtId="0" fontId="1" fillId="7" borderId="0" xfId="14" applyFill="1" applyAlignment="1">
      <alignment horizontal="center"/>
    </xf>
    <xf numFmtId="0" fontId="1" fillId="7" borderId="0" xfId="14" applyFill="1"/>
    <xf numFmtId="43" fontId="0" fillId="7" borderId="0" xfId="15" applyFont="1" applyFill="1"/>
    <xf numFmtId="43" fontId="2" fillId="7" borderId="0" xfId="15" applyFont="1" applyFill="1"/>
    <xf numFmtId="43" fontId="2" fillId="7" borderId="0" xfId="20" applyFont="1" applyFill="1"/>
    <xf numFmtId="43" fontId="0" fillId="7" borderId="0" xfId="20" applyFont="1" applyFill="1"/>
    <xf numFmtId="43" fontId="0" fillId="11" borderId="0" xfId="15" applyFont="1" applyFill="1"/>
    <xf numFmtId="43" fontId="2" fillId="11" borderId="0" xfId="15" applyFont="1" applyFill="1"/>
    <xf numFmtId="43" fontId="2" fillId="0" borderId="0" xfId="20" applyFont="1"/>
    <xf numFmtId="43" fontId="0" fillId="0" borderId="0" xfId="20" applyFont="1"/>
    <xf numFmtId="0" fontId="61" fillId="0" borderId="0" xfId="14" applyFont="1" applyAlignment="1">
      <alignment horizontal="right"/>
    </xf>
    <xf numFmtId="0" fontId="61" fillId="0" borderId="0" xfId="14" applyFont="1"/>
    <xf numFmtId="43" fontId="61" fillId="0" borderId="3" xfId="14" applyNumberFormat="1" applyFont="1" applyBorder="1"/>
    <xf numFmtId="43" fontId="61" fillId="0" borderId="0" xfId="14" applyNumberFormat="1" applyFont="1"/>
    <xf numFmtId="43" fontId="67" fillId="0" borderId="0" xfId="20" applyFont="1"/>
    <xf numFmtId="43" fontId="1" fillId="0" borderId="0" xfId="14" applyNumberFormat="1" applyAlignment="1">
      <alignment horizontal="center"/>
    </xf>
    <xf numFmtId="43" fontId="5" fillId="0" borderId="3" xfId="1" applyNumberFormat="1" applyFont="1" applyBorder="1"/>
    <xf numFmtId="44" fontId="5" fillId="0" borderId="0" xfId="2" applyNumberFormat="1" applyFont="1"/>
    <xf numFmtId="0" fontId="29" fillId="0" borderId="0" xfId="0" quotePrefix="1" applyFont="1" applyAlignment="1">
      <alignment horizontal="left"/>
    </xf>
    <xf numFmtId="167" fontId="5" fillId="0" borderId="0" xfId="2" applyNumberFormat="1" applyFont="1" applyBorder="1"/>
    <xf numFmtId="165" fontId="5" fillId="0" borderId="0" xfId="3" applyNumberFormat="1" applyFont="1" applyBorder="1"/>
    <xf numFmtId="165" fontId="5" fillId="0" borderId="9" xfId="2" applyNumberFormat="1" applyFont="1" applyBorder="1" applyAlignment="1">
      <alignment horizontal="right"/>
    </xf>
    <xf numFmtId="165" fontId="5" fillId="0" borderId="0" xfId="2" applyNumberFormat="1" applyFont="1"/>
    <xf numFmtId="165" fontId="5" fillId="0" borderId="10" xfId="2" applyNumberFormat="1" applyFont="1" applyBorder="1"/>
    <xf numFmtId="165" fontId="5" fillId="0" borderId="0" xfId="2" applyNumberFormat="1" applyFont="1" applyAlignment="1">
      <alignment horizontal="left"/>
    </xf>
    <xf numFmtId="182" fontId="11" fillId="2" borderId="3" xfId="1" applyNumberFormat="1" applyFont="1" applyFill="1" applyBorder="1" applyAlignment="1">
      <alignment horizontal="center"/>
    </xf>
    <xf numFmtId="2" fontId="5" fillId="0" borderId="0" xfId="2" applyNumberFormat="1" applyFont="1" applyAlignment="1">
      <alignment horizontal="right"/>
    </xf>
    <xf numFmtId="182" fontId="11" fillId="2" borderId="3" xfId="1" applyNumberFormat="1" applyFont="1" applyFill="1" applyBorder="1" applyAlignment="1">
      <alignment vertical="center"/>
    </xf>
    <xf numFmtId="0" fontId="29" fillId="0" borderId="0" xfId="0" quotePrefix="1" applyFont="1"/>
    <xf numFmtId="43" fontId="1" fillId="0" borderId="0" xfId="1" applyFont="1" applyAlignment="1">
      <alignment horizontal="center"/>
    </xf>
    <xf numFmtId="43" fontId="39" fillId="0" borderId="0" xfId="16" applyNumberFormat="1" applyFont="1" applyAlignment="1">
      <alignment horizontal="center"/>
    </xf>
    <xf numFmtId="183" fontId="36" fillId="0" borderId="0" xfId="16" applyNumberFormat="1" applyFont="1"/>
    <xf numFmtId="183" fontId="36" fillId="0" borderId="4" xfId="16" applyNumberFormat="1" applyFont="1" applyBorder="1"/>
    <xf numFmtId="183" fontId="36" fillId="0" borderId="0" xfId="16" applyNumberFormat="1" applyFont="1" applyBorder="1"/>
    <xf numFmtId="183" fontId="36" fillId="0" borderId="0" xfId="16" applyNumberFormat="1" applyFont="1" applyBorder="1" applyAlignment="1">
      <alignment horizontal="right"/>
    </xf>
    <xf numFmtId="4" fontId="35" fillId="10" borderId="3" xfId="16" applyNumberFormat="1" applyFont="1" applyFill="1" applyBorder="1" applyAlignment="1">
      <alignment horizontal="right"/>
    </xf>
    <xf numFmtId="43" fontId="36" fillId="2" borderId="0" xfId="20" applyFont="1" applyFill="1" applyBorder="1" applyAlignment="1"/>
    <xf numFmtId="43" fontId="39" fillId="0" borderId="0" xfId="17" applyFont="1" applyBorder="1"/>
    <xf numFmtId="43" fontId="39" fillId="0" borderId="0" xfId="16" applyNumberFormat="1" applyFont="1" applyBorder="1"/>
    <xf numFmtId="0" fontId="39" fillId="0" borderId="0" xfId="16" applyFont="1" applyBorder="1"/>
    <xf numFmtId="43" fontId="1" fillId="11" borderId="0" xfId="1" applyFill="1" applyAlignment="1">
      <alignment horizontal="center"/>
    </xf>
    <xf numFmtId="0" fontId="40" fillId="0" borderId="15" xfId="16" applyFont="1" applyBorder="1" applyAlignment="1">
      <alignment horizontal="center"/>
    </xf>
    <xf numFmtId="0" fontId="40" fillId="0" borderId="11" xfId="16" applyFont="1" applyBorder="1" applyAlignment="1">
      <alignment horizontal="center"/>
    </xf>
    <xf numFmtId="0" fontId="5" fillId="0" borderId="0" xfId="2" applyFont="1" applyAlignment="1">
      <alignment horizontal="left" indent="2"/>
    </xf>
    <xf numFmtId="0" fontId="39" fillId="0" borderId="0" xfId="16" applyFont="1" applyAlignment="1">
      <alignment horizontal="left"/>
    </xf>
    <xf numFmtId="1" fontId="68" fillId="0" borderId="0" xfId="16" quotePrefix="1" applyNumberFormat="1" applyFont="1" applyAlignment="1">
      <alignment horizontal="left"/>
    </xf>
    <xf numFmtId="1" fontId="40" fillId="0" borderId="0" xfId="16" quotePrefix="1" applyNumberFormat="1" applyFont="1"/>
    <xf numFmtId="43" fontId="39" fillId="0" borderId="0" xfId="20" applyFont="1"/>
    <xf numFmtId="0" fontId="40" fillId="0" borderId="0" xfId="16" quotePrefix="1" applyFont="1" applyAlignment="1">
      <alignment vertical="center"/>
    </xf>
    <xf numFmtId="1" fontId="41" fillId="0" borderId="0" xfId="16" quotePrefix="1" applyNumberFormat="1" applyFont="1" applyAlignment="1">
      <alignment horizontal="left"/>
    </xf>
    <xf numFmtId="1" fontId="39" fillId="0" borderId="0" xfId="16" applyNumberFormat="1" applyFont="1"/>
    <xf numFmtId="0" fontId="40" fillId="0" borderId="0" xfId="16" quotePrefix="1" applyFont="1" applyAlignment="1">
      <alignment horizontal="center"/>
    </xf>
    <xf numFmtId="43" fontId="40" fillId="0" borderId="0" xfId="20" quotePrefix="1" applyFont="1" applyFill="1" applyBorder="1" applyAlignment="1">
      <alignment horizontal="center"/>
    </xf>
    <xf numFmtId="0" fontId="40" fillId="0" borderId="0" xfId="16" quotePrefix="1" applyFont="1" applyAlignment="1">
      <alignment horizontal="left" indent="4"/>
    </xf>
    <xf numFmtId="1" fontId="39" fillId="0" borderId="0" xfId="16" applyNumberFormat="1" applyFont="1" applyAlignment="1">
      <alignment horizontal="center"/>
    </xf>
    <xf numFmtId="1" fontId="40" fillId="0" borderId="11" xfId="16" applyNumberFormat="1" applyFont="1" applyBorder="1" applyAlignment="1">
      <alignment horizontal="center"/>
    </xf>
    <xf numFmtId="1" fontId="40" fillId="0" borderId="15" xfId="16" applyNumberFormat="1" applyFont="1" applyBorder="1" applyAlignment="1">
      <alignment horizontal="center"/>
    </xf>
    <xf numFmtId="43" fontId="40" fillId="0" borderId="11" xfId="20" quotePrefix="1" applyFont="1" applyFill="1" applyBorder="1" applyAlignment="1">
      <alignment horizontal="center"/>
    </xf>
    <xf numFmtId="0" fontId="42" fillId="0" borderId="1" xfId="16" quotePrefix="1" applyFont="1" applyBorder="1" applyAlignment="1">
      <alignment horizontal="center"/>
    </xf>
    <xf numFmtId="0" fontId="40" fillId="6" borderId="0" xfId="16" applyFont="1" applyFill="1" applyAlignment="1">
      <alignment horizontal="center"/>
    </xf>
    <xf numFmtId="49" fontId="39" fillId="6" borderId="0" xfId="16" applyNumberFormat="1" applyFont="1" applyFill="1" applyAlignment="1">
      <alignment horizontal="center"/>
    </xf>
    <xf numFmtId="1" fontId="39" fillId="6" borderId="0" xfId="16" applyNumberFormat="1" applyFont="1" applyFill="1" applyAlignment="1">
      <alignment horizontal="left"/>
    </xf>
    <xf numFmtId="0" fontId="39" fillId="6" borderId="0" xfId="16" applyFont="1" applyFill="1" applyAlignment="1">
      <alignment horizontal="left"/>
    </xf>
    <xf numFmtId="43" fontId="39" fillId="6" borderId="0" xfId="2" applyNumberFormat="1" applyFont="1" applyFill="1"/>
    <xf numFmtId="43" fontId="40" fillId="6" borderId="0" xfId="20" quotePrefix="1" applyFont="1" applyFill="1" applyBorder="1" applyAlignment="1">
      <alignment horizontal="center"/>
    </xf>
    <xf numFmtId="0" fontId="70" fillId="5" borderId="18" xfId="16" quotePrefix="1" applyFont="1" applyFill="1" applyBorder="1" applyAlignment="1">
      <alignment horizontal="left"/>
    </xf>
    <xf numFmtId="1" fontId="40" fillId="0" borderId="0" xfId="16" applyNumberFormat="1" applyFont="1" applyAlignment="1">
      <alignment horizontal="center"/>
    </xf>
    <xf numFmtId="0" fontId="71" fillId="5" borderId="19" xfId="16" quotePrefix="1" applyFont="1" applyFill="1" applyBorder="1" applyAlignment="1">
      <alignment horizontal="left" indent="1"/>
    </xf>
    <xf numFmtId="0" fontId="70" fillId="5" borderId="19" xfId="16" quotePrefix="1" applyFont="1" applyFill="1" applyBorder="1" applyAlignment="1">
      <alignment horizontal="left" indent="1"/>
    </xf>
    <xf numFmtId="1" fontId="39" fillId="0" borderId="0" xfId="16" applyNumberFormat="1" applyFont="1" applyAlignment="1">
      <alignment horizontal="left"/>
    </xf>
    <xf numFmtId="43" fontId="39" fillId="0" borderId="0" xfId="2" applyNumberFormat="1" applyFont="1"/>
    <xf numFmtId="0" fontId="72" fillId="5" borderId="19" xfId="16" applyFont="1" applyFill="1" applyBorder="1"/>
    <xf numFmtId="0" fontId="71" fillId="5" borderId="19" xfId="16" quotePrefix="1" applyFont="1" applyFill="1" applyBorder="1" applyAlignment="1">
      <alignment horizontal="left"/>
    </xf>
    <xf numFmtId="1" fontId="39" fillId="6" borderId="0" xfId="2" applyNumberFormat="1" applyFont="1" applyFill="1" applyAlignment="1">
      <alignment horizontal="center"/>
    </xf>
    <xf numFmtId="1" fontId="39" fillId="6" borderId="0" xfId="2" applyNumberFormat="1" applyFont="1" applyFill="1"/>
    <xf numFmtId="49" fontId="39" fillId="6" borderId="0" xfId="16" quotePrefix="1" applyNumberFormat="1" applyFont="1" applyFill="1" applyAlignment="1">
      <alignment horizontal="left"/>
    </xf>
    <xf numFmtId="43" fontId="45" fillId="6" borderId="0" xfId="20" applyFont="1" applyFill="1" applyBorder="1" applyAlignment="1"/>
    <xf numFmtId="43" fontId="45" fillId="0" borderId="0" xfId="20" applyFont="1"/>
    <xf numFmtId="0" fontId="39" fillId="6" borderId="0" xfId="16" quotePrefix="1" applyFont="1" applyFill="1" applyAlignment="1">
      <alignment horizontal="left" indent="1"/>
    </xf>
    <xf numFmtId="0" fontId="39" fillId="6" borderId="0" xfId="16" quotePrefix="1" applyFont="1" applyFill="1" applyAlignment="1">
      <alignment horizontal="left" vertical="center" indent="1"/>
    </xf>
    <xf numFmtId="0" fontId="71" fillId="5" borderId="20" xfId="16" quotePrefix="1" applyFont="1" applyFill="1" applyBorder="1" applyAlignment="1">
      <alignment horizontal="left" indent="2"/>
    </xf>
    <xf numFmtId="1" fontId="39" fillId="6" borderId="0" xfId="2" applyNumberFormat="1" applyFont="1" applyFill="1" applyAlignment="1">
      <alignment horizontal="left" indent="1"/>
    </xf>
    <xf numFmtId="49" fontId="39" fillId="6" borderId="0" xfId="2" applyNumberFormat="1" applyFont="1" applyFill="1" applyAlignment="1">
      <alignment horizontal="left" indent="1"/>
    </xf>
    <xf numFmtId="0" fontId="71" fillId="5" borderId="20" xfId="16" quotePrefix="1" applyFont="1" applyFill="1" applyBorder="1" applyAlignment="1">
      <alignment horizontal="left"/>
    </xf>
    <xf numFmtId="0" fontId="70" fillId="0" borderId="0" xfId="16" quotePrefix="1" applyFont="1" applyAlignment="1">
      <alignment horizontal="left" indent="1"/>
    </xf>
    <xf numFmtId="49" fontId="39" fillId="6" borderId="0" xfId="2" quotePrefix="1" applyNumberFormat="1" applyFont="1" applyFill="1" applyAlignment="1">
      <alignment horizontal="left" indent="1"/>
    </xf>
    <xf numFmtId="0" fontId="71" fillId="0" borderId="0" xfId="16" quotePrefix="1" applyFont="1" applyAlignment="1">
      <alignment horizontal="left" indent="2"/>
    </xf>
    <xf numFmtId="1" fontId="39" fillId="6" borderId="0" xfId="2" applyNumberFormat="1" applyFont="1" applyFill="1" applyAlignment="1">
      <alignment horizontal="right" indent="1"/>
    </xf>
    <xf numFmtId="0" fontId="71" fillId="0" borderId="0" xfId="16" quotePrefix="1" applyFont="1" applyAlignment="1">
      <alignment horizontal="left"/>
    </xf>
    <xf numFmtId="0" fontId="70" fillId="0" borderId="0" xfId="16" quotePrefix="1" applyFont="1" applyAlignment="1">
      <alignment horizontal="left"/>
    </xf>
    <xf numFmtId="43" fontId="70" fillId="0" borderId="0" xfId="16" quotePrefix="1" applyNumberFormat="1" applyFont="1" applyAlignment="1">
      <alignment horizontal="left" indent="1"/>
    </xf>
    <xf numFmtId="1" fontId="39" fillId="0" borderId="0" xfId="2" applyNumberFormat="1" applyFont="1" applyAlignment="1">
      <alignment horizontal="center"/>
    </xf>
    <xf numFmtId="1" fontId="39" fillId="0" borderId="0" xfId="2" applyNumberFormat="1" applyFont="1"/>
    <xf numFmtId="49" fontId="39" fillId="0" borderId="0" xfId="16" quotePrefix="1" applyNumberFormat="1" applyFont="1"/>
    <xf numFmtId="43" fontId="45" fillId="0" borderId="0" xfId="20" applyFont="1" applyFill="1" applyBorder="1" applyAlignment="1"/>
    <xf numFmtId="1" fontId="39" fillId="0" borderId="0" xfId="2" quotePrefix="1" applyNumberFormat="1" applyFont="1" applyAlignment="1">
      <alignment horizontal="right"/>
    </xf>
    <xf numFmtId="0" fontId="39" fillId="0" borderId="0" xfId="16" quotePrefix="1" applyFont="1" applyAlignment="1">
      <alignment horizontal="left" vertical="center" indent="1"/>
    </xf>
    <xf numFmtId="43" fontId="39" fillId="0" borderId="0" xfId="20" applyFont="1" applyFill="1" applyBorder="1" applyAlignment="1"/>
    <xf numFmtId="16" fontId="45" fillId="0" borderId="0" xfId="16" applyNumberFormat="1" applyFont="1"/>
    <xf numFmtId="1" fontId="39" fillId="0" borderId="0" xfId="2" applyNumberFormat="1" applyFont="1" applyAlignment="1">
      <alignment horizontal="left" indent="1"/>
    </xf>
    <xf numFmtId="49" fontId="39" fillId="0" borderId="0" xfId="16" quotePrefix="1" applyNumberFormat="1" applyFont="1" applyAlignment="1">
      <alignment horizontal="left" indent="1"/>
    </xf>
    <xf numFmtId="1" fontId="39" fillId="0" borderId="0" xfId="2" quotePrefix="1" applyNumberFormat="1" applyFont="1" applyAlignment="1">
      <alignment horizontal="right" indent="1"/>
    </xf>
    <xf numFmtId="49" fontId="39" fillId="0" borderId="0" xfId="2" quotePrefix="1" applyNumberFormat="1" applyFont="1" applyAlignment="1">
      <alignment horizontal="left" indent="1"/>
    </xf>
    <xf numFmtId="43" fontId="45" fillId="0" borderId="0" xfId="20" applyFont="1" applyFill="1"/>
    <xf numFmtId="49" fontId="39" fillId="6" borderId="0" xfId="16" quotePrefix="1" applyNumberFormat="1" applyFont="1" applyFill="1"/>
    <xf numFmtId="1" fontId="39" fillId="6" borderId="0" xfId="2" quotePrefix="1" applyNumberFormat="1" applyFont="1" applyFill="1" applyAlignment="1">
      <alignment horizontal="left"/>
    </xf>
    <xf numFmtId="1" fontId="39" fillId="0" borderId="0" xfId="2" quotePrefix="1" applyNumberFormat="1" applyFont="1" applyAlignment="1">
      <alignment horizontal="left"/>
    </xf>
    <xf numFmtId="49" fontId="39" fillId="6" borderId="0" xfId="16" quotePrefix="1" applyNumberFormat="1" applyFont="1" applyFill="1" applyAlignment="1">
      <alignment horizontal="left" indent="1"/>
    </xf>
    <xf numFmtId="43" fontId="39" fillId="0" borderId="0" xfId="20" applyFont="1" applyFill="1"/>
    <xf numFmtId="0" fontId="40" fillId="0" borderId="0" xfId="16" quotePrefix="1" applyFont="1" applyAlignment="1">
      <alignment horizontal="left" vertical="top"/>
    </xf>
    <xf numFmtId="0" fontId="39" fillId="6" borderId="0" xfId="16" applyFont="1" applyFill="1" applyAlignment="1">
      <alignment horizontal="center"/>
    </xf>
    <xf numFmtId="43" fontId="45" fillId="6" borderId="0" xfId="2" applyNumberFormat="1" applyFont="1" applyFill="1"/>
    <xf numFmtId="0" fontId="39" fillId="0" borderId="0" xfId="16" quotePrefix="1" applyFont="1" applyAlignment="1">
      <alignment horizontal="left" vertical="top"/>
    </xf>
    <xf numFmtId="43" fontId="39" fillId="0" borderId="0" xfId="2" applyNumberFormat="1" applyFont="1" applyAlignment="1">
      <alignment vertical="center"/>
    </xf>
    <xf numFmtId="43" fontId="45" fillId="0" borderId="0" xfId="2" applyNumberFormat="1" applyFont="1"/>
    <xf numFmtId="1" fontId="39" fillId="6" borderId="0" xfId="20" applyNumberFormat="1" applyFont="1" applyFill="1" applyBorder="1" applyAlignment="1">
      <alignment horizontal="center"/>
    </xf>
    <xf numFmtId="1" fontId="39" fillId="6" borderId="0" xfId="20" quotePrefix="1" applyNumberFormat="1" applyFont="1" applyFill="1" applyBorder="1" applyAlignment="1">
      <alignment horizontal="left"/>
    </xf>
    <xf numFmtId="49" fontId="39" fillId="0" borderId="0" xfId="16" applyNumberFormat="1" applyFont="1"/>
    <xf numFmtId="43" fontId="45" fillId="0" borderId="0" xfId="20" applyFont="1" applyFill="1" applyAlignment="1"/>
    <xf numFmtId="43" fontId="39" fillId="0" borderId="9" xfId="16" applyNumberFormat="1" applyFont="1" applyBorder="1"/>
    <xf numFmtId="0" fontId="39" fillId="0" borderId="0" xfId="16" quotePrefix="1" applyFont="1" applyAlignment="1">
      <alignment horizontal="right"/>
    </xf>
    <xf numFmtId="0" fontId="39" fillId="0" borderId="0" xfId="16" quotePrefix="1" applyFont="1"/>
    <xf numFmtId="43" fontId="71" fillId="0" borderId="0" xfId="16" quotePrefix="1" applyNumberFormat="1" applyFont="1" applyAlignment="1">
      <alignment horizontal="left"/>
    </xf>
    <xf numFmtId="0" fontId="39" fillId="0" borderId="0" xfId="16" quotePrefix="1" applyFont="1" applyAlignment="1">
      <alignment vertical="center"/>
    </xf>
    <xf numFmtId="49" fontId="39" fillId="0" borderId="0" xfId="2" applyNumberFormat="1" applyFont="1"/>
    <xf numFmtId="43" fontId="45" fillId="0" borderId="0" xfId="20" applyFont="1" applyFill="1" applyBorder="1"/>
    <xf numFmtId="0" fontId="39" fillId="0" borderId="0" xfId="16" applyFont="1" applyAlignment="1">
      <alignment horizontal="right"/>
    </xf>
    <xf numFmtId="49" fontId="40" fillId="5" borderId="2" xfId="16" quotePrefix="1" applyNumberFormat="1" applyFont="1" applyFill="1" applyBorder="1" applyAlignment="1">
      <alignment horizontal="left"/>
    </xf>
    <xf numFmtId="49" fontId="42" fillId="5" borderId="0" xfId="16" quotePrefix="1" applyNumberFormat="1" applyFont="1" applyFill="1" applyAlignment="1">
      <alignment horizontal="center"/>
    </xf>
    <xf numFmtId="0" fontId="42" fillId="5" borderId="24" xfId="16" applyFont="1" applyFill="1" applyBorder="1"/>
    <xf numFmtId="0" fontId="40" fillId="5" borderId="2" xfId="16" quotePrefix="1" applyFont="1" applyFill="1" applyBorder="1" applyAlignment="1">
      <alignment horizontal="left"/>
    </xf>
    <xf numFmtId="49" fontId="40" fillId="5" borderId="0" xfId="16" quotePrefix="1" applyNumberFormat="1" applyFont="1" applyFill="1" applyAlignment="1">
      <alignment horizontal="center"/>
    </xf>
    <xf numFmtId="0" fontId="42" fillId="5" borderId="25" xfId="16" applyFont="1" applyFill="1" applyBorder="1"/>
    <xf numFmtId="0" fontId="40" fillId="5" borderId="2" xfId="16" quotePrefix="1" applyFont="1" applyFill="1" applyBorder="1"/>
    <xf numFmtId="49" fontId="40" fillId="5" borderId="2" xfId="16" quotePrefix="1" applyNumberFormat="1" applyFont="1" applyFill="1" applyBorder="1"/>
    <xf numFmtId="49" fontId="40" fillId="5" borderId="0" xfId="16" quotePrefix="1" applyNumberFormat="1" applyFont="1" applyFill="1" applyAlignment="1">
      <alignment wrapText="1"/>
    </xf>
    <xf numFmtId="49" fontId="40" fillId="5" borderId="25" xfId="16" quotePrefix="1" applyNumberFormat="1" applyFont="1" applyFill="1" applyBorder="1" applyAlignment="1">
      <alignment wrapText="1"/>
    </xf>
    <xf numFmtId="0" fontId="42" fillId="0" borderId="0" xfId="16" applyFont="1"/>
    <xf numFmtId="49" fontId="40" fillId="5" borderId="2" xfId="16" quotePrefix="1" applyNumberFormat="1" applyFont="1" applyFill="1" applyBorder="1" applyAlignment="1">
      <alignment horizontal="left" wrapText="1"/>
    </xf>
    <xf numFmtId="0" fontId="40" fillId="5" borderId="2" xfId="16" quotePrefix="1" applyFont="1" applyFill="1" applyBorder="1" applyAlignment="1">
      <alignment horizontal="left" indent="1"/>
    </xf>
    <xf numFmtId="0" fontId="40" fillId="5" borderId="0" xfId="16" quotePrefix="1" applyFont="1" applyFill="1" applyAlignment="1">
      <alignment vertical="top" wrapText="1"/>
    </xf>
    <xf numFmtId="0" fontId="40" fillId="5" borderId="25" xfId="16" quotePrefix="1" applyFont="1" applyFill="1" applyBorder="1" applyAlignment="1">
      <alignment vertical="top" wrapText="1"/>
    </xf>
    <xf numFmtId="49" fontId="40" fillId="5" borderId="26" xfId="16" quotePrefix="1" applyNumberFormat="1" applyFont="1" applyFill="1" applyBorder="1" applyAlignment="1">
      <alignment horizontal="left" indent="1"/>
    </xf>
    <xf numFmtId="49" fontId="40" fillId="5" borderId="8" xfId="16" applyNumberFormat="1" applyFont="1" applyFill="1" applyBorder="1"/>
    <xf numFmtId="0" fontId="40" fillId="5" borderId="27" xfId="16" applyFont="1" applyFill="1" applyBorder="1"/>
    <xf numFmtId="165" fontId="31" fillId="0" borderId="0" xfId="3" applyFont="1" applyBorder="1" applyAlignment="1">
      <alignment horizontal="center" wrapText="1"/>
    </xf>
    <xf numFmtId="43" fontId="31" fillId="6" borderId="0" xfId="1" applyFont="1" applyFill="1" applyAlignment="1">
      <alignment horizontal="left" indent="3"/>
    </xf>
    <xf numFmtId="2" fontId="31" fillId="0" borderId="0" xfId="2" applyNumberFormat="1" applyFont="1" applyBorder="1" applyAlignment="1">
      <alignment horizontal="right"/>
    </xf>
    <xf numFmtId="43" fontId="5" fillId="0" borderId="0" xfId="1" applyFont="1" applyAlignment="1">
      <alignment horizontal="right"/>
    </xf>
    <xf numFmtId="0" fontId="18" fillId="0" borderId="3" xfId="2" applyFont="1" applyBorder="1" applyAlignment="1">
      <alignment horizontal="center" wrapText="1"/>
    </xf>
    <xf numFmtId="4" fontId="32" fillId="0" borderId="0" xfId="2" applyNumberFormat="1" applyFont="1" applyFill="1" applyAlignment="1"/>
    <xf numFmtId="4" fontId="32" fillId="5" borderId="0" xfId="2" applyNumberFormat="1" applyFont="1" applyFill="1" applyAlignment="1"/>
    <xf numFmtId="4" fontId="22" fillId="0" borderId="0" xfId="2" applyNumberFormat="1" applyFont="1" applyAlignment="1"/>
    <xf numFmtId="4" fontId="32" fillId="0" borderId="0" xfId="2" applyNumberFormat="1" applyFont="1" applyAlignment="1"/>
    <xf numFmtId="2" fontId="5" fillId="0" borderId="0" xfId="2" applyNumberFormat="1" applyFont="1" applyBorder="1" applyAlignment="1">
      <alignment horizontal="right"/>
    </xf>
    <xf numFmtId="172" fontId="5" fillId="0" borderId="0" xfId="1" applyNumberFormat="1" applyFont="1" applyBorder="1"/>
    <xf numFmtId="4" fontId="5" fillId="0" borderId="0" xfId="2" applyNumberFormat="1" applyFont="1" applyBorder="1"/>
    <xf numFmtId="43" fontId="5" fillId="0" borderId="0" xfId="1" applyNumberFormat="1" applyFont="1" applyBorder="1"/>
    <xf numFmtId="0" fontId="5" fillId="6" borderId="11" xfId="0" applyFont="1" applyFill="1" applyBorder="1" applyAlignment="1">
      <alignment horizontal="center"/>
    </xf>
    <xf numFmtId="0" fontId="15" fillId="0" borderId="0" xfId="0" applyFont="1"/>
    <xf numFmtId="43" fontId="5" fillId="0" borderId="3" xfId="1" applyFont="1" applyBorder="1" applyAlignment="1"/>
    <xf numFmtId="0" fontId="5" fillId="0" borderId="0" xfId="0" applyFont="1" applyAlignment="1">
      <alignment horizontal="left"/>
    </xf>
    <xf numFmtId="0" fontId="11" fillId="0" borderId="0" xfId="0" applyFont="1"/>
    <xf numFmtId="43" fontId="5" fillId="0" borderId="0" xfId="1" applyFont="1" applyBorder="1" applyAlignment="1"/>
    <xf numFmtId="0" fontId="5" fillId="8" borderId="0" xfId="0" applyFont="1" applyFill="1" applyAlignment="1">
      <alignment horizontal="left"/>
    </xf>
    <xf numFmtId="0" fontId="11" fillId="8" borderId="0" xfId="0" applyFont="1" applyFill="1"/>
    <xf numFmtId="43" fontId="5" fillId="8" borderId="0" xfId="1" applyFont="1" applyFill="1" applyBorder="1" applyAlignment="1"/>
    <xf numFmtId="43" fontId="31" fillId="0" borderId="3" xfId="1" applyFont="1" applyBorder="1" applyAlignment="1"/>
    <xf numFmtId="37" fontId="31" fillId="0" borderId="3" xfId="1" applyNumberFormat="1" applyFont="1" applyBorder="1" applyAlignment="1"/>
    <xf numFmtId="43" fontId="5" fillId="9" borderId="10" xfId="1" applyFont="1" applyFill="1" applyBorder="1" applyAlignment="1"/>
    <xf numFmtId="43" fontId="5" fillId="0" borderId="10" xfId="1" applyFont="1" applyBorder="1" applyAlignment="1"/>
    <xf numFmtId="168" fontId="5" fillId="0" borderId="0" xfId="0" applyNumberFormat="1" applyFont="1"/>
    <xf numFmtId="165" fontId="5" fillId="5" borderId="5" xfId="0" applyNumberFormat="1" applyFont="1" applyFill="1" applyBorder="1" applyAlignment="1">
      <alignment horizontal="right"/>
    </xf>
    <xf numFmtId="165" fontId="5" fillId="5" borderId="3" xfId="0" applyNumberFormat="1" applyFont="1" applyFill="1" applyBorder="1" applyAlignment="1">
      <alignment horizontal="right"/>
    </xf>
    <xf numFmtId="43" fontId="35" fillId="6" borderId="8" xfId="20" applyFont="1" applyFill="1" applyBorder="1" applyAlignment="1"/>
    <xf numFmtId="43" fontId="5" fillId="0" borderId="7" xfId="1" applyFont="1" applyBorder="1" applyAlignment="1">
      <alignment horizontal="right"/>
    </xf>
    <xf numFmtId="43" fontId="5" fillId="0" borderId="3" xfId="1" applyFont="1" applyBorder="1"/>
    <xf numFmtId="43" fontId="5" fillId="0" borderId="3" xfId="1" applyFont="1" applyBorder="1" applyAlignment="1">
      <alignment horizontal="right"/>
    </xf>
    <xf numFmtId="0" fontId="5" fillId="0" borderId="0" xfId="0" applyFont="1"/>
    <xf numFmtId="0" fontId="5" fillId="8" borderId="0" xfId="0" applyFont="1" applyFill="1"/>
    <xf numFmtId="0" fontId="31" fillId="0" borderId="0" xfId="0" applyFont="1" applyAlignment="1">
      <alignment horizontal="center"/>
    </xf>
    <xf numFmtId="0" fontId="30" fillId="13" borderId="0" xfId="0" applyFont="1" applyFill="1"/>
    <xf numFmtId="43" fontId="31" fillId="5" borderId="3" xfId="1" applyFont="1" applyFill="1" applyBorder="1" applyAlignment="1">
      <alignment horizontal="right"/>
    </xf>
    <xf numFmtId="4" fontId="36" fillId="0" borderId="0" xfId="16" quotePrefix="1" applyNumberFormat="1" applyFont="1" applyAlignment="1">
      <alignment horizontal="left"/>
    </xf>
    <xf numFmtId="0" fontId="40" fillId="0" borderId="15" xfId="16" applyFont="1" applyBorder="1" applyAlignment="1">
      <alignment horizontal="center"/>
    </xf>
    <xf numFmtId="0" fontId="40" fillId="0" borderId="5" xfId="16" applyFont="1" applyBorder="1" applyAlignment="1">
      <alignment horizontal="center"/>
    </xf>
    <xf numFmtId="0" fontId="40" fillId="0" borderId="14" xfId="16" applyFont="1" applyBorder="1" applyAlignment="1">
      <alignment horizontal="center"/>
    </xf>
    <xf numFmtId="0" fontId="40" fillId="0" borderId="0" xfId="16" quotePrefix="1" applyFont="1" applyAlignment="1">
      <alignment horizontal="center"/>
    </xf>
    <xf numFmtId="0" fontId="42" fillId="0" borderId="21" xfId="16" quotePrefix="1" applyFont="1" applyBorder="1" applyAlignment="1">
      <alignment horizontal="center"/>
    </xf>
    <xf numFmtId="0" fontId="42" fillId="0" borderId="22" xfId="16" quotePrefix="1" applyFont="1" applyBorder="1" applyAlignment="1">
      <alignment horizontal="center"/>
    </xf>
    <xf numFmtId="0" fontId="42" fillId="0" borderId="23" xfId="16" quotePrefix="1" applyFont="1" applyBorder="1" applyAlignment="1">
      <alignment horizontal="center"/>
    </xf>
    <xf numFmtId="0" fontId="40" fillId="5" borderId="2" xfId="16" quotePrefix="1" applyFont="1" applyFill="1" applyBorder="1" applyAlignment="1">
      <alignment horizontal="left" vertical="top" wrapText="1"/>
    </xf>
    <xf numFmtId="0" fontId="40" fillId="5" borderId="0" xfId="16" quotePrefix="1" applyFont="1" applyFill="1" applyAlignment="1">
      <alignment horizontal="left" vertical="top" wrapText="1"/>
    </xf>
    <xf numFmtId="0" fontId="40" fillId="5" borderId="25" xfId="16" quotePrefix="1" applyFont="1" applyFill="1" applyBorder="1" applyAlignment="1">
      <alignment horizontal="left" vertical="top" wrapText="1"/>
    </xf>
    <xf numFmtId="43" fontId="40" fillId="0" borderId="11" xfId="17" quotePrefix="1" applyFont="1" applyBorder="1" applyAlignment="1">
      <alignment horizontal="center"/>
    </xf>
    <xf numFmtId="0" fontId="40" fillId="0" borderId="11" xfId="16" quotePrefix="1" applyFont="1" applyBorder="1" applyAlignment="1">
      <alignment horizontal="center"/>
    </xf>
    <xf numFmtId="49" fontId="42" fillId="0" borderId="11" xfId="2" quotePrefix="1" applyNumberFormat="1" applyFont="1" applyBorder="1" applyAlignment="1">
      <alignment horizontal="center"/>
    </xf>
    <xf numFmtId="49" fontId="42" fillId="0" borderId="11" xfId="2" applyNumberFormat="1" applyFont="1" applyBorder="1" applyAlignment="1">
      <alignment horizontal="center"/>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5" borderId="5" xfId="0" applyFont="1" applyFill="1" applyBorder="1" applyAlignment="1">
      <alignment horizontal="left" wrapText="1" indent="3"/>
    </xf>
    <xf numFmtId="0" fontId="5" fillId="0" borderId="5" xfId="2" applyFont="1" applyBorder="1" applyAlignment="1">
      <alignment horizontal="left" wrapText="1" indent="3"/>
    </xf>
    <xf numFmtId="0" fontId="5" fillId="5" borderId="5" xfId="0" applyFont="1" applyFill="1" applyBorder="1" applyAlignment="1">
      <alignment horizontal="left" indent="3"/>
    </xf>
    <xf numFmtId="0" fontId="5" fillId="0" borderId="5" xfId="2" applyFont="1" applyBorder="1" applyAlignment="1">
      <alignment horizontal="left" indent="3"/>
    </xf>
    <xf numFmtId="0" fontId="5" fillId="5" borderId="3" xfId="0" applyFont="1" applyFill="1" applyBorder="1" applyAlignment="1">
      <alignment horizontal="left" indent="3"/>
    </xf>
    <xf numFmtId="0" fontId="5" fillId="0" borderId="3" xfId="2" applyFont="1" applyBorder="1" applyAlignment="1">
      <alignment horizontal="left" indent="3"/>
    </xf>
    <xf numFmtId="0" fontId="27" fillId="0" borderId="0" xfId="16" applyFont="1" applyAlignment="1">
      <alignment horizontal="left" vertical="center" wrapText="1"/>
    </xf>
    <xf numFmtId="0" fontId="28" fillId="0" borderId="0" xfId="16" applyFont="1" applyAlignment="1">
      <alignment horizontal="left" vertical="center" wrapText="1"/>
    </xf>
    <xf numFmtId="0" fontId="28" fillId="0" borderId="0" xfId="16" applyFont="1" applyAlignment="1">
      <alignment horizontal="left" vertical="center"/>
    </xf>
    <xf numFmtId="0" fontId="5" fillId="5" borderId="3" xfId="0" applyFont="1" applyFill="1" applyBorder="1" applyAlignment="1">
      <alignment horizontal="left" wrapText="1"/>
    </xf>
    <xf numFmtId="2" fontId="11" fillId="5" borderId="3" xfId="0" applyNumberFormat="1" applyFont="1" applyFill="1" applyBorder="1" applyAlignment="1">
      <alignment horizontal="center" wrapText="1"/>
    </xf>
    <xf numFmtId="2" fontId="11" fillId="5" borderId="3" xfId="0" applyNumberFormat="1" applyFont="1" applyFill="1" applyBorder="1" applyAlignment="1">
      <alignment horizontal="center"/>
    </xf>
    <xf numFmtId="0" fontId="5" fillId="0" borderId="3" xfId="2" applyFont="1" applyBorder="1" applyAlignment="1">
      <alignment horizontal="left" wrapText="1"/>
    </xf>
    <xf numFmtId="2" fontId="11" fillId="0" borderId="3" xfId="2" applyNumberFormat="1" applyFont="1" applyBorder="1" applyAlignment="1">
      <alignment horizontal="center" wrapText="1"/>
    </xf>
    <xf numFmtId="2" fontId="11" fillId="0" borderId="3" xfId="2" applyNumberFormat="1" applyFont="1" applyBorder="1" applyAlignment="1">
      <alignment horizontal="center"/>
    </xf>
    <xf numFmtId="0" fontId="23" fillId="0" borderId="0" xfId="16" applyFont="1" applyAlignment="1">
      <alignment horizontal="left" vertical="center" wrapText="1"/>
    </xf>
    <xf numFmtId="0" fontId="23" fillId="0" borderId="0" xfId="16" applyFont="1" applyAlignment="1">
      <alignment horizontal="left" vertical="center"/>
    </xf>
    <xf numFmtId="0" fontId="36" fillId="0" borderId="0" xfId="16" applyFont="1" applyAlignment="1">
      <alignment horizontal="right"/>
    </xf>
    <xf numFmtId="0" fontId="36" fillId="0" borderId="0" xfId="16" quotePrefix="1" applyFont="1" applyAlignment="1">
      <alignment horizontal="left"/>
    </xf>
    <xf numFmtId="0" fontId="36" fillId="0" borderId="0" xfId="16" applyFont="1" applyAlignment="1">
      <alignment horizontal="left"/>
    </xf>
    <xf numFmtId="0" fontId="36" fillId="0" borderId="0" xfId="16" applyFont="1" applyAlignment="1">
      <alignment horizontal="left" indent="2"/>
    </xf>
    <xf numFmtId="7" fontId="36" fillId="0" borderId="0" xfId="16" applyNumberFormat="1" applyFont="1" applyAlignment="1">
      <alignment horizontal="right"/>
    </xf>
    <xf numFmtId="0" fontId="36" fillId="4" borderId="3" xfId="16" applyFont="1" applyFill="1" applyBorder="1" applyAlignment="1">
      <alignment horizontal="center"/>
    </xf>
    <xf numFmtId="0" fontId="36" fillId="0" borderId="0" xfId="16" applyFont="1" applyAlignment="1">
      <alignment horizontal="center"/>
    </xf>
    <xf numFmtId="3" fontId="36" fillId="0" borderId="0" xfId="16" quotePrefix="1" applyNumberFormat="1" applyFont="1" applyAlignment="1">
      <alignment horizontal="center"/>
    </xf>
    <xf numFmtId="0" fontId="36" fillId="0" borderId="3" xfId="16" applyFont="1" applyBorder="1" applyAlignment="1">
      <alignment horizontal="center"/>
    </xf>
    <xf numFmtId="0" fontId="36" fillId="0" borderId="0" xfId="16" quotePrefix="1" applyFont="1" applyAlignment="1">
      <alignment horizontal="center"/>
    </xf>
    <xf numFmtId="0" fontId="36" fillId="0" borderId="4" xfId="16" applyFont="1" applyBorder="1" applyAlignment="1">
      <alignment horizontal="left" indent="2"/>
    </xf>
    <xf numFmtId="7" fontId="36" fillId="0" borderId="4" xfId="16" applyNumberFormat="1" applyFont="1" applyBorder="1" applyAlignment="1">
      <alignment horizontal="right"/>
    </xf>
    <xf numFmtId="2" fontId="58" fillId="0" borderId="0" xfId="16" applyNumberFormat="1" applyFont="1" applyAlignment="1">
      <alignment horizontal="left" indent="3"/>
    </xf>
    <xf numFmtId="4" fontId="36" fillId="0" borderId="0" xfId="16" quotePrefix="1" applyNumberFormat="1" applyFont="1" applyAlignment="1">
      <alignment horizontal="center"/>
    </xf>
    <xf numFmtId="0" fontId="49" fillId="0" borderId="0" xfId="16" quotePrefix="1" applyFont="1" applyAlignment="1">
      <alignment horizontal="right"/>
    </xf>
    <xf numFmtId="0" fontId="49" fillId="0" borderId="0" xfId="16" applyFont="1" applyAlignment="1">
      <alignment horizontal="right"/>
    </xf>
    <xf numFmtId="180" fontId="36" fillId="0" borderId="0" xfId="16" applyNumberFormat="1" applyFont="1"/>
    <xf numFmtId="180" fontId="36" fillId="0" borderId="10" xfId="16" applyNumberFormat="1" applyFont="1" applyBorder="1"/>
    <xf numFmtId="0" fontId="36" fillId="0" borderId="0" xfId="16" quotePrefix="1" applyFont="1" applyAlignment="1">
      <alignment horizontal="left" wrapText="1"/>
    </xf>
    <xf numFmtId="0" fontId="49" fillId="0" borderId="0" xfId="16" quotePrefix="1" applyFont="1" applyAlignment="1">
      <alignment horizontal="center"/>
    </xf>
    <xf numFmtId="0" fontId="48" fillId="0" borderId="4" xfId="16" applyFont="1" applyBorder="1" applyAlignment="1">
      <alignment horizontal="left" vertical="center" wrapText="1"/>
    </xf>
    <xf numFmtId="0" fontId="48" fillId="0" borderId="0" xfId="16" applyFont="1" applyAlignment="1">
      <alignment horizontal="left" vertical="center" wrapText="1"/>
    </xf>
    <xf numFmtId="164" fontId="36" fillId="0" borderId="0" xfId="16" applyNumberFormat="1" applyFont="1" applyAlignment="1">
      <alignment horizontal="center"/>
    </xf>
    <xf numFmtId="0" fontId="36" fillId="0" borderId="0" xfId="16" quotePrefix="1" applyFont="1" applyAlignment="1">
      <alignment horizontal="left" indent="2"/>
    </xf>
    <xf numFmtId="0" fontId="36" fillId="0" borderId="3" xfId="16" applyFont="1" applyBorder="1" applyAlignment="1">
      <alignment horizontal="left" wrapText="1"/>
    </xf>
    <xf numFmtId="0" fontId="36" fillId="0" borderId="4" xfId="16" applyFont="1" applyBorder="1" applyAlignment="1">
      <alignment horizontal="left"/>
    </xf>
    <xf numFmtId="0" fontId="36" fillId="0" borderId="0" xfId="16" applyFont="1" applyAlignment="1">
      <alignment horizontal="left" wrapText="1"/>
    </xf>
    <xf numFmtId="2" fontId="36" fillId="0" borderId="4" xfId="16" applyNumberFormat="1" applyFont="1" applyBorder="1" applyAlignment="1">
      <alignment horizontal="center"/>
    </xf>
    <xf numFmtId="0" fontId="36" fillId="0" borderId="3" xfId="16" quotePrefix="1" applyFont="1" applyBorder="1" applyAlignment="1">
      <alignment horizontal="center"/>
    </xf>
    <xf numFmtId="164" fontId="36" fillId="0" borderId="5" xfId="16" quotePrefix="1" applyNumberFormat="1" applyFont="1" applyBorder="1" applyAlignment="1">
      <alignment horizontal="center"/>
    </xf>
    <xf numFmtId="0" fontId="47" fillId="0" borderId="2" xfId="16" applyFont="1" applyBorder="1" applyAlignment="1">
      <alignment horizontal="left"/>
    </xf>
    <xf numFmtId="0" fontId="47" fillId="0" borderId="0" xfId="16" applyFont="1" applyAlignment="1">
      <alignment horizontal="left"/>
    </xf>
    <xf numFmtId="4" fontId="36" fillId="0" borderId="0" xfId="16" applyNumberFormat="1" applyFont="1"/>
    <xf numFmtId="4" fontId="47" fillId="0" borderId="0" xfId="16" applyNumberFormat="1" applyFont="1" applyAlignment="1">
      <alignment horizontal="left"/>
    </xf>
    <xf numFmtId="164" fontId="36" fillId="0" borderId="0" xfId="16" applyNumberFormat="1" applyFont="1" applyAlignment="1">
      <alignment horizontal="center" wrapText="1"/>
    </xf>
    <xf numFmtId="164" fontId="36" fillId="0" borderId="3" xfId="16" applyNumberFormat="1" applyFont="1" applyBorder="1" applyAlignment="1">
      <alignment horizontal="center" wrapText="1"/>
    </xf>
    <xf numFmtId="164" fontId="5" fillId="0" borderId="0" xfId="2" applyNumberFormat="1" applyFont="1" applyAlignment="1">
      <alignment horizontal="center"/>
    </xf>
    <xf numFmtId="164" fontId="73" fillId="0" borderId="0" xfId="2" applyNumberFormat="1" applyFont="1" applyAlignment="1">
      <alignment horizontal="center" wrapText="1"/>
    </xf>
    <xf numFmtId="0" fontId="4" fillId="0" borderId="2" xfId="2" applyFont="1" applyBorder="1" applyAlignment="1">
      <alignment horizontal="left"/>
    </xf>
    <xf numFmtId="0" fontId="4" fillId="0" borderId="0" xfId="2" applyFont="1" applyBorder="1" applyAlignment="1">
      <alignment horizontal="left"/>
    </xf>
    <xf numFmtId="0" fontId="4" fillId="0" borderId="0" xfId="2" applyFont="1" applyAlignment="1">
      <alignment horizontal="left"/>
    </xf>
    <xf numFmtId="0" fontId="5" fillId="0" borderId="0" xfId="2" applyFont="1" applyAlignment="1">
      <alignment horizontal="center"/>
    </xf>
    <xf numFmtId="4" fontId="5" fillId="0" borderId="0" xfId="2" applyNumberFormat="1" applyFont="1" applyAlignment="1">
      <alignment horizontal="left" indent="2"/>
    </xf>
    <xf numFmtId="4" fontId="5" fillId="0" borderId="0" xfId="2" applyNumberFormat="1" applyFont="1" applyAlignment="1">
      <alignment horizontal="left"/>
    </xf>
    <xf numFmtId="0" fontId="5" fillId="0" borderId="3" xfId="2" quotePrefix="1" applyFont="1" applyBorder="1" applyAlignment="1">
      <alignment horizontal="center"/>
    </xf>
    <xf numFmtId="0" fontId="3" fillId="0" borderId="0" xfId="2" quotePrefix="1" applyFont="1" applyBorder="1" applyAlignment="1">
      <alignment horizontal="center"/>
    </xf>
    <xf numFmtId="164" fontId="5" fillId="0" borderId="3" xfId="2" quotePrefix="1" applyNumberFormat="1" applyFont="1" applyBorder="1" applyAlignment="1">
      <alignment horizontal="center"/>
    </xf>
    <xf numFmtId="0" fontId="5" fillId="0" borderId="4" xfId="2" applyFont="1" applyBorder="1" applyAlignment="1">
      <alignment horizontal="left" indent="3"/>
    </xf>
    <xf numFmtId="2" fontId="5" fillId="0" borderId="4" xfId="2" applyNumberFormat="1" applyFont="1" applyFill="1" applyBorder="1" applyAlignment="1">
      <alignment horizontal="center"/>
    </xf>
    <xf numFmtId="164" fontId="5" fillId="5" borderId="4" xfId="2" applyNumberFormat="1" applyFont="1" applyFill="1" applyBorder="1" applyAlignment="1">
      <alignment horizontal="center"/>
    </xf>
    <xf numFmtId="0" fontId="9" fillId="0" borderId="0" xfId="2" applyFont="1" applyAlignment="1">
      <alignment horizontal="center"/>
    </xf>
    <xf numFmtId="7" fontId="9" fillId="5" borderId="0" xfId="2" applyNumberFormat="1" applyFont="1" applyFill="1" applyAlignment="1">
      <alignment horizontal="center"/>
    </xf>
    <xf numFmtId="0" fontId="9" fillId="0" borderId="0" xfId="2" applyFont="1" applyAlignment="1">
      <alignment horizontal="left"/>
    </xf>
    <xf numFmtId="164" fontId="5" fillId="0" borderId="0" xfId="2" applyNumberFormat="1" applyFont="1" applyAlignment="1">
      <alignment horizontal="center" wrapText="1"/>
    </xf>
    <xf numFmtId="0" fontId="3" fillId="0" borderId="3" xfId="2" applyFont="1" applyBorder="1" applyAlignment="1">
      <alignment horizontal="center" wrapText="1"/>
    </xf>
    <xf numFmtId="164" fontId="5" fillId="0" borderId="3" xfId="2" applyNumberFormat="1" applyFont="1" applyBorder="1" applyAlignment="1">
      <alignment horizontal="center" wrapText="1"/>
    </xf>
    <xf numFmtId="2" fontId="5" fillId="0" borderId="0" xfId="2" applyNumberFormat="1" applyFont="1" applyFill="1" applyBorder="1" applyAlignment="1">
      <alignment horizontal="center"/>
    </xf>
    <xf numFmtId="164" fontId="5" fillId="5" borderId="0" xfId="2" applyNumberFormat="1" applyFont="1" applyFill="1" applyAlignment="1">
      <alignment horizontal="center"/>
    </xf>
    <xf numFmtId="2" fontId="5" fillId="0" borderId="3" xfId="2" applyNumberFormat="1" applyFont="1" applyFill="1" applyBorder="1" applyAlignment="1">
      <alignment horizontal="center"/>
    </xf>
    <xf numFmtId="164" fontId="5" fillId="5" borderId="3" xfId="2" applyNumberFormat="1" applyFont="1" applyFill="1" applyBorder="1" applyAlignment="1">
      <alignment horizontal="center"/>
    </xf>
    <xf numFmtId="0" fontId="5" fillId="0" borderId="4" xfId="2" applyFont="1" applyBorder="1" applyAlignment="1">
      <alignment horizontal="right"/>
    </xf>
    <xf numFmtId="2" fontId="13" fillId="0" borderId="3" xfId="2" applyNumberFormat="1" applyFont="1" applyBorder="1" applyAlignment="1">
      <alignment horizontal="center"/>
    </xf>
    <xf numFmtId="2" fontId="5" fillId="0" borderId="0" xfId="2" applyNumberFormat="1" applyFont="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2" fontId="5" fillId="0" borderId="4" xfId="2" applyNumberFormat="1" applyFont="1" applyBorder="1" applyAlignment="1">
      <alignment horizontal="center"/>
    </xf>
    <xf numFmtId="0" fontId="5" fillId="0" borderId="3" xfId="2" applyFont="1" applyBorder="1" applyAlignment="1">
      <alignment horizontal="left"/>
    </xf>
    <xf numFmtId="2" fontId="3" fillId="0" borderId="3" xfId="2" applyNumberFormat="1" applyFont="1" applyBorder="1" applyAlignment="1">
      <alignment horizontal="center"/>
    </xf>
    <xf numFmtId="0" fontId="9" fillId="0" borderId="4" xfId="2" applyFont="1" applyBorder="1" applyAlignment="1">
      <alignment horizontal="left" vertical="center" wrapText="1" indent="3"/>
    </xf>
    <xf numFmtId="0" fontId="9" fillId="0" borderId="0" xfId="2" applyFont="1" applyAlignment="1">
      <alignment horizontal="left" vertical="center" wrapText="1" indent="3"/>
    </xf>
    <xf numFmtId="4" fontId="11" fillId="0" borderId="0" xfId="2" applyNumberFormat="1" applyFont="1" applyFill="1" applyBorder="1" applyAlignment="1">
      <alignment horizontal="center" vertical="center" wrapText="1"/>
    </xf>
    <xf numFmtId="0" fontId="5" fillId="0" borderId="0" xfId="2" applyFont="1" applyAlignment="1">
      <alignment horizontal="left" indent="2"/>
    </xf>
    <xf numFmtId="169" fontId="13" fillId="0" borderId="0" xfId="2" applyNumberFormat="1" applyFont="1" applyAlignment="1">
      <alignment horizontal="left" indent="2"/>
    </xf>
    <xf numFmtId="0" fontId="23" fillId="5" borderId="0" xfId="0" applyFont="1" applyFill="1" applyAlignment="1">
      <alignment horizontal="left" wrapText="1"/>
    </xf>
    <xf numFmtId="0" fontId="23" fillId="5" borderId="0" xfId="0" applyFont="1" applyFill="1" applyAlignment="1">
      <alignment horizontal="left"/>
    </xf>
    <xf numFmtId="4" fontId="11" fillId="0" borderId="3" xfId="2" applyNumberFormat="1" applyFont="1" applyFill="1" applyBorder="1" applyAlignment="1">
      <alignment horizontal="center" vertical="center" wrapText="1"/>
    </xf>
    <xf numFmtId="2" fontId="5" fillId="0" borderId="7" xfId="2" applyNumberFormat="1" applyFont="1" applyBorder="1" applyAlignment="1">
      <alignment horizontal="center"/>
    </xf>
    <xf numFmtId="0" fontId="5" fillId="5" borderId="0" xfId="0" applyFont="1" applyFill="1" applyAlignment="1">
      <alignment horizontal="right"/>
    </xf>
    <xf numFmtId="0" fontId="5" fillId="5" borderId="0" xfId="0" applyFont="1" applyFill="1" applyAlignment="1">
      <alignment horizontal="center"/>
    </xf>
    <xf numFmtId="3" fontId="5" fillId="5" borderId="0" xfId="0" quotePrefix="1" applyNumberFormat="1" applyFont="1" applyFill="1" applyAlignment="1">
      <alignment horizontal="center"/>
    </xf>
    <xf numFmtId="0" fontId="5" fillId="0" borderId="4" xfId="2" applyFont="1" applyBorder="1" applyAlignment="1">
      <alignment horizontal="left"/>
    </xf>
    <xf numFmtId="0" fontId="11" fillId="5" borderId="5" xfId="0" applyFont="1" applyFill="1" applyBorder="1" applyAlignment="1">
      <alignment horizontal="center"/>
    </xf>
    <xf numFmtId="0" fontId="5" fillId="5" borderId="3" xfId="0" applyFont="1" applyFill="1" applyBorder="1" applyAlignment="1">
      <alignment horizontal="center"/>
    </xf>
    <xf numFmtId="0" fontId="5" fillId="0" borderId="0" xfId="2" applyFont="1" applyAlignment="1">
      <alignment horizontal="left" wrapText="1" indent="2"/>
    </xf>
    <xf numFmtId="0" fontId="5" fillId="0" borderId="3" xfId="2" applyFont="1" applyBorder="1" applyAlignment="1">
      <alignment horizontal="center"/>
    </xf>
    <xf numFmtId="0" fontId="5" fillId="0" borderId="3" xfId="2" applyFont="1" applyBorder="1" applyAlignment="1">
      <alignment horizontal="center" wrapText="1"/>
    </xf>
    <xf numFmtId="7" fontId="5" fillId="5" borderId="0" xfId="0" applyNumberFormat="1" applyFont="1" applyFill="1" applyAlignment="1">
      <alignment horizontal="right"/>
    </xf>
    <xf numFmtId="7" fontId="5" fillId="5" borderId="4" xfId="0" applyNumberFormat="1" applyFont="1" applyFill="1" applyBorder="1" applyAlignment="1">
      <alignment horizontal="right"/>
    </xf>
    <xf numFmtId="0" fontId="11"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2" fontId="25" fillId="0" borderId="0" xfId="2" applyNumberFormat="1" applyFont="1" applyAlignment="1">
      <alignment horizontal="left" indent="6"/>
    </xf>
    <xf numFmtId="4" fontId="5" fillId="0" borderId="0" xfId="2" quotePrefix="1" applyNumberFormat="1" applyFont="1" applyAlignment="1">
      <alignment horizontal="center"/>
    </xf>
    <xf numFmtId="166" fontId="5" fillId="5" borderId="0" xfId="0" applyNumberFormat="1" applyFont="1" applyFill="1" applyAlignment="1">
      <alignment horizontal="center"/>
    </xf>
    <xf numFmtId="0" fontId="11" fillId="0" borderId="3" xfId="2" applyFont="1" applyFill="1" applyBorder="1" applyAlignment="1">
      <alignment horizontal="center"/>
    </xf>
    <xf numFmtId="0" fontId="30" fillId="5" borderId="3" xfId="0" applyFont="1" applyFill="1" applyBorder="1" applyAlignment="1">
      <alignment horizontal="center"/>
    </xf>
    <xf numFmtId="0" fontId="11" fillId="0" borderId="3" xfId="1" applyNumberFormat="1" applyFont="1" applyFill="1" applyBorder="1" applyAlignment="1">
      <alignment horizontal="center"/>
    </xf>
    <xf numFmtId="170" fontId="5" fillId="5" borderId="2" xfId="6" applyFont="1" applyFill="1" applyBorder="1" applyAlignment="1">
      <alignment horizontal="right"/>
    </xf>
    <xf numFmtId="170" fontId="5" fillId="5" borderId="0" xfId="6" applyFont="1" applyFill="1" applyBorder="1" applyAlignment="1">
      <alignment horizontal="right"/>
    </xf>
    <xf numFmtId="2" fontId="25" fillId="5" borderId="0" xfId="0" applyNumberFormat="1" applyFont="1" applyFill="1" applyAlignment="1">
      <alignment horizontal="left" indent="6"/>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22" fillId="5" borderId="0" xfId="0" applyFont="1" applyFill="1" applyAlignment="1">
      <alignment horizontal="right"/>
    </xf>
    <xf numFmtId="0" fontId="22" fillId="5" borderId="0" xfId="0" applyFont="1" applyFill="1" applyAlignment="1">
      <alignment horizontal="center"/>
    </xf>
    <xf numFmtId="4" fontId="22" fillId="5" borderId="0" xfId="0" applyNumberFormat="1" applyFont="1" applyFill="1" applyAlignment="1">
      <alignment horizontal="left"/>
    </xf>
    <xf numFmtId="0" fontId="5" fillId="5" borderId="0" xfId="0" applyFont="1" applyFill="1" applyAlignment="1">
      <alignment horizontal="left" indent="2"/>
    </xf>
    <xf numFmtId="164" fontId="5" fillId="5" borderId="0" xfId="0" applyNumberFormat="1" applyFont="1" applyFill="1" applyAlignment="1">
      <alignment horizontal="right" wrapText="1"/>
    </xf>
    <xf numFmtId="4" fontId="22" fillId="5" borderId="0" xfId="0" applyNumberFormat="1" applyFont="1" applyFill="1" applyAlignment="1">
      <alignment horizontal="left" indent="1"/>
    </xf>
    <xf numFmtId="169" fontId="13" fillId="5" borderId="0" xfId="0" applyNumberFormat="1" applyFont="1" applyFill="1" applyAlignment="1">
      <alignment horizontal="left" indent="2"/>
    </xf>
    <xf numFmtId="0" fontId="5" fillId="5" borderId="0" xfId="0" applyFont="1" applyFill="1" applyAlignment="1">
      <alignment horizontal="left" wrapText="1"/>
    </xf>
    <xf numFmtId="0" fontId="5" fillId="5" borderId="0" xfId="0" applyFont="1" applyFill="1" applyAlignment="1">
      <alignment horizontal="left" wrapText="1" indent="2"/>
    </xf>
    <xf numFmtId="4" fontId="11" fillId="5" borderId="5" xfId="0" applyNumberFormat="1" applyFont="1" applyFill="1" applyBorder="1" applyAlignment="1">
      <alignment horizontal="center" vertical="center" wrapText="1"/>
    </xf>
    <xf numFmtId="4" fontId="11" fillId="5" borderId="6" xfId="0" applyNumberFormat="1" applyFont="1" applyFill="1" applyBorder="1" applyAlignment="1">
      <alignment horizontal="center" vertical="center" wrapText="1"/>
    </xf>
    <xf numFmtId="2" fontId="5" fillId="5" borderId="7" xfId="0" applyNumberFormat="1" applyFont="1" applyFill="1" applyBorder="1" applyAlignment="1">
      <alignment horizontal="center"/>
    </xf>
    <xf numFmtId="0" fontId="5" fillId="4" borderId="3" xfId="2" applyFont="1" applyFill="1" applyBorder="1" applyAlignment="1">
      <alignment horizontal="center"/>
    </xf>
    <xf numFmtId="3" fontId="5" fillId="0" borderId="0" xfId="2" quotePrefix="1" applyNumberFormat="1" applyFont="1" applyAlignment="1">
      <alignment horizontal="center"/>
    </xf>
    <xf numFmtId="7" fontId="5" fillId="0" borderId="4" xfId="2" applyNumberFormat="1" applyFont="1" applyBorder="1" applyAlignment="1">
      <alignment horizontal="right"/>
    </xf>
    <xf numFmtId="7" fontId="5" fillId="0" borderId="0" xfId="2" applyNumberFormat="1" applyFont="1" applyAlignment="1">
      <alignment horizontal="right"/>
    </xf>
    <xf numFmtId="0" fontId="23" fillId="0" borderId="0" xfId="2" applyFont="1" applyAlignment="1">
      <alignment horizontal="left"/>
    </xf>
    <xf numFmtId="164" fontId="5" fillId="5" borderId="0" xfId="0" applyNumberFormat="1" applyFont="1" applyFill="1" applyAlignment="1">
      <alignment horizontal="center"/>
    </xf>
    <xf numFmtId="2" fontId="30" fillId="5" borderId="5" xfId="0" applyNumberFormat="1" applyFont="1" applyFill="1" applyBorder="1" applyAlignment="1">
      <alignment horizontal="center"/>
    </xf>
    <xf numFmtId="164" fontId="5" fillId="5" borderId="3" xfId="0" applyNumberFormat="1" applyFont="1" applyFill="1" applyBorder="1" applyAlignment="1">
      <alignment horizontal="center"/>
    </xf>
    <xf numFmtId="0" fontId="5" fillId="5" borderId="4" xfId="0" applyFont="1" applyFill="1" applyBorder="1" applyAlignment="1">
      <alignment horizontal="right"/>
    </xf>
    <xf numFmtId="2" fontId="13" fillId="5" borderId="3" xfId="0" applyNumberFormat="1" applyFont="1" applyFill="1" applyBorder="1" applyAlignment="1">
      <alignment horizontal="center"/>
    </xf>
    <xf numFmtId="2" fontId="5" fillId="5" borderId="0" xfId="0" applyNumberFormat="1" applyFont="1" applyFill="1" applyAlignment="1">
      <alignment horizontal="center"/>
    </xf>
    <xf numFmtId="4" fontId="11" fillId="5" borderId="5" xfId="0" applyNumberFormat="1" applyFont="1" applyFill="1" applyBorder="1" applyAlignment="1">
      <alignment horizontal="center"/>
    </xf>
    <xf numFmtId="0" fontId="23" fillId="0" borderId="0" xfId="2" applyFont="1" applyAlignment="1">
      <alignment horizontal="left" wrapText="1"/>
    </xf>
    <xf numFmtId="0" fontId="5" fillId="5" borderId="3" xfId="0" applyFont="1" applyFill="1" applyBorder="1" applyAlignment="1">
      <alignment horizontal="left"/>
    </xf>
    <xf numFmtId="2" fontId="3" fillId="5" borderId="3" xfId="0" applyNumberFormat="1" applyFont="1" applyFill="1" applyBorder="1" applyAlignment="1">
      <alignment horizontal="center"/>
    </xf>
    <xf numFmtId="0" fontId="9" fillId="5" borderId="0" xfId="0" applyFont="1" applyFill="1" applyAlignment="1">
      <alignment horizontal="left" vertical="center" wrapText="1" indent="6"/>
    </xf>
    <xf numFmtId="4" fontId="11" fillId="5" borderId="3" xfId="0" applyNumberFormat="1" applyFont="1" applyFill="1" applyBorder="1" applyAlignment="1">
      <alignment horizontal="center" vertical="center" wrapText="1"/>
    </xf>
    <xf numFmtId="0" fontId="27" fillId="0" borderId="0" xfId="2" applyFont="1" applyAlignment="1">
      <alignment horizontal="left" wrapText="1"/>
    </xf>
    <xf numFmtId="0" fontId="28" fillId="0" borderId="0" xfId="2" applyFont="1" applyAlignment="1">
      <alignment horizontal="left" wrapText="1"/>
    </xf>
    <xf numFmtId="0" fontId="28" fillId="0" borderId="0" xfId="2" applyFont="1" applyAlignment="1">
      <alignment horizontal="left"/>
    </xf>
    <xf numFmtId="164" fontId="5" fillId="5" borderId="3" xfId="0" quotePrefix="1" applyNumberFormat="1" applyFont="1" applyFill="1" applyBorder="1" applyAlignment="1">
      <alignment horizontal="center"/>
    </xf>
    <xf numFmtId="0" fontId="5" fillId="5" borderId="4" xfId="0" applyFont="1" applyFill="1" applyBorder="1" applyAlignment="1">
      <alignment horizontal="left" indent="3"/>
    </xf>
    <xf numFmtId="164" fontId="5" fillId="5" borderId="4" xfId="0" applyNumberFormat="1" applyFont="1" applyFill="1" applyBorder="1" applyAlignment="1">
      <alignment horizontal="center"/>
    </xf>
    <xf numFmtId="2" fontId="11" fillId="5" borderId="5" xfId="2" applyNumberFormat="1" applyFont="1" applyFill="1" applyBorder="1" applyAlignment="1">
      <alignment horizontal="center"/>
    </xf>
    <xf numFmtId="166" fontId="5" fillId="0" borderId="0" xfId="2" applyNumberFormat="1" applyFont="1" applyAlignment="1">
      <alignment horizontal="center"/>
    </xf>
    <xf numFmtId="0" fontId="11" fillId="0" borderId="3" xfId="2" applyFont="1" applyBorder="1" applyAlignment="1">
      <alignment horizontal="center"/>
    </xf>
    <xf numFmtId="0" fontId="11" fillId="0" borderId="0" xfId="2" applyFont="1" applyAlignment="1">
      <alignment horizontal="center"/>
    </xf>
    <xf numFmtId="0" fontId="4" fillId="5" borderId="2" xfId="0" applyFont="1" applyFill="1" applyBorder="1" applyAlignment="1">
      <alignment horizontal="left"/>
    </xf>
    <xf numFmtId="0" fontId="4" fillId="5" borderId="0" xfId="0" applyFont="1" applyFill="1" applyAlignment="1">
      <alignment horizontal="left"/>
    </xf>
    <xf numFmtId="0" fontId="7" fillId="5" borderId="0" xfId="0" applyFont="1" applyFill="1" applyAlignment="1">
      <alignment horizontal="left"/>
    </xf>
    <xf numFmtId="4" fontId="5" fillId="5" borderId="0" xfId="0" applyNumberFormat="1" applyFont="1" applyFill="1" applyAlignment="1">
      <alignment horizontal="left" indent="2"/>
    </xf>
    <xf numFmtId="4" fontId="4" fillId="5" borderId="0" xfId="0" applyNumberFormat="1" applyFont="1" applyFill="1" applyAlignment="1">
      <alignment horizontal="left"/>
    </xf>
    <xf numFmtId="4" fontId="5" fillId="5" borderId="0" xfId="0" applyNumberFormat="1" applyFont="1" applyFill="1" applyAlignment="1">
      <alignment horizontal="left"/>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4" fontId="5" fillId="5" borderId="0" xfId="0" applyNumberFormat="1" applyFont="1" applyFill="1" applyAlignment="1">
      <alignment horizontal="center" wrapText="1"/>
    </xf>
    <xf numFmtId="0" fontId="3" fillId="5" borderId="3" xfId="0" applyFont="1" applyFill="1" applyBorder="1" applyAlignment="1">
      <alignment horizontal="center" wrapText="1"/>
    </xf>
    <xf numFmtId="164" fontId="5" fillId="5" borderId="3" xfId="0" applyNumberFormat="1" applyFont="1" applyFill="1" applyBorder="1" applyAlignment="1">
      <alignment horizontal="center" wrapText="1"/>
    </xf>
    <xf numFmtId="0" fontId="5" fillId="5" borderId="3" xfId="0" quotePrefix="1" applyFont="1" applyFill="1" applyBorder="1" applyAlignment="1">
      <alignment horizontal="center"/>
    </xf>
    <xf numFmtId="0" fontId="3" fillId="5" borderId="3" xfId="0" quotePrefix="1" applyFont="1" applyFill="1" applyBorder="1" applyAlignment="1">
      <alignment horizontal="center"/>
    </xf>
    <xf numFmtId="4" fontId="22" fillId="0" borderId="0" xfId="2" applyNumberFormat="1" applyFont="1" applyAlignment="1">
      <alignment horizontal="left"/>
    </xf>
    <xf numFmtId="164" fontId="5" fillId="0" borderId="0" xfId="2" applyNumberFormat="1" applyFont="1" applyAlignment="1">
      <alignment horizontal="right" wrapText="1"/>
    </xf>
    <xf numFmtId="1" fontId="11" fillId="0" borderId="3" xfId="2" applyNumberFormat="1" applyFont="1" applyFill="1" applyBorder="1" applyAlignment="1">
      <alignment horizontal="center"/>
    </xf>
    <xf numFmtId="43" fontId="13" fillId="0" borderId="3" xfId="1" applyFont="1" applyBorder="1" applyAlignment="1">
      <alignment horizontal="center"/>
    </xf>
    <xf numFmtId="164" fontId="74" fillId="5" borderId="0" xfId="0" applyNumberFormat="1" applyFont="1" applyFill="1" applyAlignment="1">
      <alignment horizontal="right"/>
    </xf>
    <xf numFmtId="2" fontId="11" fillId="0" borderId="3" xfId="1" applyNumberFormat="1" applyFont="1" applyFill="1" applyBorder="1" applyAlignment="1">
      <alignment horizontal="center"/>
    </xf>
    <xf numFmtId="2" fontId="11" fillId="0" borderId="3" xfId="2" applyNumberFormat="1" applyFont="1" applyFill="1" applyBorder="1" applyAlignment="1">
      <alignment horizontal="center"/>
    </xf>
    <xf numFmtId="4" fontId="32" fillId="0" borderId="0" xfId="2" applyNumberFormat="1" applyFont="1" applyAlignment="1">
      <alignment horizontal="left" indent="1"/>
    </xf>
    <xf numFmtId="43" fontId="11" fillId="0" borderId="3" xfId="1" applyFont="1" applyFill="1" applyBorder="1" applyAlignment="1">
      <alignment horizontal="center"/>
    </xf>
    <xf numFmtId="43" fontId="11" fillId="0" borderId="3" xfId="2" applyNumberFormat="1" applyFont="1" applyFill="1" applyBorder="1" applyAlignment="1">
      <alignment horizontal="center"/>
    </xf>
    <xf numFmtId="165" fontId="5" fillId="0" borderId="0" xfId="2" applyNumberFormat="1" applyFont="1" applyAlignment="1">
      <alignment horizontal="left" indent="2"/>
    </xf>
    <xf numFmtId="165" fontId="5" fillId="0" borderId="0" xfId="2" applyNumberFormat="1" applyFont="1" applyAlignment="1">
      <alignment horizontal="center"/>
    </xf>
    <xf numFmtId="165" fontId="5" fillId="0" borderId="0" xfId="2" applyNumberFormat="1" applyFont="1" applyAlignment="1">
      <alignment horizontal="left"/>
    </xf>
    <xf numFmtId="165" fontId="5" fillId="0" borderId="0" xfId="2" applyNumberFormat="1" applyFont="1" applyAlignment="1">
      <alignment horizontal="right"/>
    </xf>
  </cellXfs>
  <cellStyles count="23">
    <cellStyle name="Comma" xfId="1" builtinId="3"/>
    <cellStyle name="Comma 2" xfId="7" xr:uid="{A77AAC65-6ABC-4BD7-B4E4-E8C6EA87404E}"/>
    <cellStyle name="Comma 2 2" xfId="20" xr:uid="{E2538F31-FAEE-410C-AF2B-5F50FABAC09B}"/>
    <cellStyle name="Comma 3" xfId="15" xr:uid="{E12AE131-F748-46E9-B13D-002899C3BEBA}"/>
    <cellStyle name="Comma 3 8" xfId="8" xr:uid="{DD14EDE5-9F57-4335-8F7B-31D969EC9681}"/>
    <cellStyle name="Comma 4" xfId="17" xr:uid="{C67BBFE0-F8BA-4FA9-B2E2-B5F9B888CB9F}"/>
    <cellStyle name="Comma_charter school revenue frame" xfId="6" xr:uid="{54A18062-2B6E-435D-9591-679221AA979E}"/>
    <cellStyle name="Comma_charter school revenue frame 2" xfId="22" xr:uid="{881D83CA-369D-4FF1-8828-1DD9606B6256}"/>
    <cellStyle name="Currency 2" xfId="4" xr:uid="{049B6946-81A6-4654-9DB7-D984AC16F1BF}"/>
    <cellStyle name="Currency 2 8" xfId="9" xr:uid="{EBE2B08F-1A54-4FF2-9D8F-8BC80D7B785F}"/>
    <cellStyle name="Currency_charter school revenue frame" xfId="3" xr:uid="{3B48E0E5-2BEF-49BA-8437-CEC3897C6086}"/>
    <cellStyle name="Currency_charter school revenue frame 2" xfId="21" xr:uid="{2307F5FA-701B-4A97-B3FB-462A24E87172}"/>
    <cellStyle name="Normal" xfId="0" builtinId="0"/>
    <cellStyle name="Normal 2" xfId="2" xr:uid="{AF2D144A-E667-4245-AF28-F226C3B3204D}"/>
    <cellStyle name="Normal 2 2" xfId="11" xr:uid="{CE1E0F82-DC65-4709-9150-11DA8DAD6052}"/>
    <cellStyle name="Normal 2 2 2" xfId="18" xr:uid="{86E235BA-E09F-40BE-8B3D-693563FEDECB}"/>
    <cellStyle name="Normal 2 3" xfId="10" xr:uid="{B0EC3044-EB83-4D47-95A1-A611DC2B1103}"/>
    <cellStyle name="Normal 3" xfId="14" xr:uid="{8C037667-6869-4A85-886F-D0E1318975F9}"/>
    <cellStyle name="Normal 3 8" xfId="12" xr:uid="{1B25DA00-62E1-4173-AE38-4ADD75ADC081}"/>
    <cellStyle name="Normal 4" xfId="16" xr:uid="{FCA7D7F8-2C47-4643-A907-38A516636C11}"/>
    <cellStyle name="Percent 2" xfId="5" xr:uid="{5229ADFB-D40A-4B60-9737-6A11FF83C6E0}"/>
    <cellStyle name="Percent 3" xfId="19" xr:uid="{6227FAB4-7B4E-431E-8FC9-D4621A766CA4}"/>
    <cellStyle name="Percent 3 8" xfId="13" xr:uid="{9DF5C671-750A-41AF-AD37-8977655559A3}"/>
  </cellStyles>
  <dxfs count="18">
    <dxf>
      <fill>
        <patternFill>
          <bgColor theme="0" tint="-0.14996795556505021"/>
        </patternFill>
      </fill>
    </dxf>
    <dxf>
      <fill>
        <patternFill>
          <bgColor theme="0" tint="-0.14996795556505021"/>
        </patternFill>
      </fill>
    </dxf>
    <dxf>
      <fill>
        <patternFill>
          <bgColor rgb="FFFFFF66"/>
        </patternFill>
      </fill>
    </dxf>
    <dxf>
      <fill>
        <patternFill>
          <bgColor theme="0" tint="-0.14996795556505021"/>
        </patternFill>
      </fill>
    </dxf>
    <dxf>
      <fill>
        <patternFill>
          <bgColor rgb="FFFFFF66"/>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2" defaultPivotStyle="PivotStyleLight16"/>
  <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526CSREWC2nd%20-%202nd%20calc%20-%20July%202025%20-%20First%20used%20in%20aug%2010%20paymen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1%20-%202025-08%20-%20FEFP%20CS%20Pmt%20Calc%20-%20O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charter school calculator"/>
      <sheetName val="Detail 2025-26 FEFP Second"/>
      <sheetName val="111-112-113 ADDITIONAL FUND"/>
      <sheetName val="Transportation Per Student"/>
      <sheetName val="75% or more ESE Calc"/>
    </sheetNames>
    <sheetDataSet>
      <sheetData sheetId="0" refreshError="1"/>
      <sheetData sheetId="1" refreshError="1">
        <row r="1">
          <cell r="A1" t="str">
            <v>Charter School Worksheet DATA</v>
          </cell>
        </row>
        <row r="2">
          <cell r="C2" t="str">
            <v>Comparable Wage Factor</v>
          </cell>
          <cell r="D2" t="str">
            <v>Small District Factor</v>
          </cell>
          <cell r="E2" t="str">
            <v>Unweighted FTE</v>
          </cell>
          <cell r="F2" t="str">
            <v>Weighted FTE Funded</v>
          </cell>
          <cell r="G2" t="str">
            <v>Non Virtual UFTE</v>
          </cell>
          <cell r="H2" t="str">
            <v>Non Scholarship UFTE</v>
          </cell>
          <cell r="I2" t="str">
            <v>Non Virtual and Scholarship UFTE</v>
          </cell>
          <cell r="J2" t="str">
            <v>Total
Acceleration 
Value</v>
          </cell>
          <cell r="L2" t="str">
            <v>Discretionary Tax Compression 0.748 mills</v>
          </cell>
          <cell r="M2" t="str">
            <v>Safe Schools Allocation</v>
          </cell>
          <cell r="N2" t="str">
            <v>Educational Enrichment Allocation Base</v>
          </cell>
          <cell r="O2" t="str">
            <v>Academic
Acceleration
Options
Supplement</v>
          </cell>
          <cell r="Q2" t="str">
            <v>Total Disc.</v>
          </cell>
          <cell r="R2" t="str">
            <v>Total Proration to Funds Available</v>
          </cell>
          <cell r="S2" t="str">
            <v>Educational Enrollment Stabilization Program</v>
          </cell>
          <cell r="T2" t="str">
            <v>Mental Health Assistance Allocation</v>
          </cell>
          <cell r="V2" t="str">
            <v>Exempt Property Allocation Per Military and Indian Land Student</v>
          </cell>
          <cell r="AM2" t="str">
            <v>Qualifying Students With Disabilities BSA</v>
          </cell>
        </row>
        <row r="3">
          <cell r="A3">
            <v>1</v>
          </cell>
          <cell r="C3">
            <v>1</v>
          </cell>
          <cell r="D3">
            <v>1</v>
          </cell>
          <cell r="E3">
            <v>31987.56</v>
          </cell>
          <cell r="F3">
            <v>33359.06</v>
          </cell>
          <cell r="G3">
            <v>31841.690000000002</v>
          </cell>
          <cell r="H3">
            <v>26624.81</v>
          </cell>
          <cell r="I3">
            <v>26478.940000000002</v>
          </cell>
          <cell r="J3">
            <v>1565.48</v>
          </cell>
          <cell r="L3">
            <v>7004956</v>
          </cell>
          <cell r="M3">
            <v>3698967</v>
          </cell>
          <cell r="N3">
            <v>8812506</v>
          </cell>
          <cell r="O3">
            <v>8461768</v>
          </cell>
          <cell r="Q3">
            <v>20634936</v>
          </cell>
          <cell r="T3">
            <v>1737180</v>
          </cell>
          <cell r="V3">
            <v>0</v>
          </cell>
          <cell r="AB3">
            <v>958.42</v>
          </cell>
          <cell r="AC3">
            <v>915.09</v>
          </cell>
          <cell r="AD3">
            <v>917.3</v>
          </cell>
          <cell r="AL3">
            <v>161</v>
          </cell>
          <cell r="AM3">
            <v>564</v>
          </cell>
        </row>
        <row r="4">
          <cell r="A4">
            <v>2</v>
          </cell>
          <cell r="C4">
            <v>1</v>
          </cell>
          <cell r="D4">
            <v>1.0373000000000001</v>
          </cell>
          <cell r="E4">
            <v>4688.2599999999993</v>
          </cell>
          <cell r="F4">
            <v>4933.880000000001</v>
          </cell>
          <cell r="G4">
            <v>4683.4499999999989</v>
          </cell>
          <cell r="H4">
            <v>4434.2599999999993</v>
          </cell>
          <cell r="I4">
            <v>4429.4499999999989</v>
          </cell>
          <cell r="J4">
            <v>123.22</v>
          </cell>
          <cell r="L4">
            <v>2745867</v>
          </cell>
          <cell r="M4">
            <v>624227</v>
          </cell>
          <cell r="N4">
            <v>1804580</v>
          </cell>
          <cell r="O4">
            <v>675079</v>
          </cell>
          <cell r="Q4">
            <v>1305156</v>
          </cell>
          <cell r="T4">
            <v>372666</v>
          </cell>
          <cell r="V4">
            <v>0</v>
          </cell>
        </row>
        <row r="5">
          <cell r="A5">
            <v>3</v>
          </cell>
          <cell r="C5">
            <v>1</v>
          </cell>
          <cell r="D5">
            <v>1</v>
          </cell>
          <cell r="E5">
            <v>28697.590000000004</v>
          </cell>
          <cell r="F5">
            <v>32325.119999999995</v>
          </cell>
          <cell r="G5">
            <v>28523.900000000005</v>
          </cell>
          <cell r="H5">
            <v>27015.090000000004</v>
          </cell>
          <cell r="I5">
            <v>26841.400000000005</v>
          </cell>
          <cell r="J5">
            <v>749.97</v>
          </cell>
          <cell r="L5">
            <v>0</v>
          </cell>
          <cell r="M5">
            <v>3093252</v>
          </cell>
          <cell r="N5">
            <v>7870885</v>
          </cell>
          <cell r="O5">
            <v>4053755</v>
          </cell>
          <cell r="Q5">
            <v>25075853</v>
          </cell>
          <cell r="T5">
            <v>1761179</v>
          </cell>
          <cell r="V5">
            <v>520.66</v>
          </cell>
        </row>
        <row r="6">
          <cell r="A6">
            <v>4</v>
          </cell>
          <cell r="C6">
            <v>1</v>
          </cell>
          <cell r="D6">
            <v>1.0373000000000001</v>
          </cell>
          <cell r="E6">
            <v>3078.81</v>
          </cell>
          <cell r="F6">
            <v>3244.14</v>
          </cell>
          <cell r="G6">
            <v>3035.02</v>
          </cell>
          <cell r="H6">
            <v>2538.81</v>
          </cell>
          <cell r="I6">
            <v>2495.02</v>
          </cell>
          <cell r="J6">
            <v>21.119999999999997</v>
          </cell>
          <cell r="L6">
            <v>1387620</v>
          </cell>
          <cell r="M6">
            <v>488225</v>
          </cell>
          <cell r="N6">
            <v>1663707</v>
          </cell>
          <cell r="O6">
            <v>115709</v>
          </cell>
          <cell r="Q6">
            <v>1272720</v>
          </cell>
          <cell r="T6">
            <v>256113</v>
          </cell>
          <cell r="V6">
            <v>0</v>
          </cell>
        </row>
        <row r="7">
          <cell r="A7">
            <v>5</v>
          </cell>
          <cell r="C7">
            <v>1</v>
          </cell>
          <cell r="D7">
            <v>1</v>
          </cell>
          <cell r="E7">
            <v>81576.12</v>
          </cell>
          <cell r="F7">
            <v>86710.37</v>
          </cell>
          <cell r="G7">
            <v>80969.83</v>
          </cell>
          <cell r="H7">
            <v>69522.37</v>
          </cell>
          <cell r="I7">
            <v>68916.08</v>
          </cell>
          <cell r="J7">
            <v>2961.1099999999997</v>
          </cell>
          <cell r="L7">
            <v>13159860</v>
          </cell>
          <cell r="M7">
            <v>7351060</v>
          </cell>
          <cell r="N7">
            <v>21654571</v>
          </cell>
          <cell r="O7">
            <v>16005458</v>
          </cell>
          <cell r="Q7">
            <v>57328169</v>
          </cell>
          <cell r="T7">
            <v>4374985</v>
          </cell>
          <cell r="V7">
            <v>1249.48</v>
          </cell>
        </row>
        <row r="8">
          <cell r="A8">
            <v>6</v>
          </cell>
          <cell r="C8">
            <v>1.0248999999999999</v>
          </cell>
          <cell r="D8">
            <v>1</v>
          </cell>
          <cell r="E8">
            <v>284621.67</v>
          </cell>
          <cell r="F8">
            <v>303877.90000000002</v>
          </cell>
          <cell r="G8">
            <v>284256.58999999997</v>
          </cell>
          <cell r="H8">
            <v>235800.16999999998</v>
          </cell>
          <cell r="I8">
            <v>235435.08999999997</v>
          </cell>
          <cell r="J8">
            <v>12233.810000000001</v>
          </cell>
          <cell r="L8">
            <v>0</v>
          </cell>
          <cell r="M8">
            <v>25049636</v>
          </cell>
          <cell r="N8">
            <v>61729161</v>
          </cell>
          <cell r="O8">
            <v>66842129</v>
          </cell>
          <cell r="Q8">
            <v>249288592</v>
          </cell>
          <cell r="T8">
            <v>14599537</v>
          </cell>
          <cell r="V8">
            <v>0</v>
          </cell>
        </row>
        <row r="9">
          <cell r="A9">
            <v>7</v>
          </cell>
          <cell r="C9">
            <v>1</v>
          </cell>
          <cell r="D9">
            <v>1.0373000000000001</v>
          </cell>
          <cell r="E9">
            <v>2016.0800000000002</v>
          </cell>
          <cell r="F9">
            <v>2171.39</v>
          </cell>
          <cell r="G9">
            <v>1955.0500000000002</v>
          </cell>
          <cell r="H9">
            <v>1961.5800000000002</v>
          </cell>
          <cell r="I9">
            <v>1900.5500000000002</v>
          </cell>
          <cell r="J9">
            <v>55.910000000000004</v>
          </cell>
          <cell r="L9">
            <v>1184790</v>
          </cell>
          <cell r="M9">
            <v>407640</v>
          </cell>
          <cell r="N9">
            <v>1545076</v>
          </cell>
          <cell r="O9">
            <v>306311</v>
          </cell>
          <cell r="Q9">
            <v>557269</v>
          </cell>
          <cell r="T9">
            <v>220619</v>
          </cell>
          <cell r="V9">
            <v>0</v>
          </cell>
        </row>
        <row r="10">
          <cell r="A10">
            <v>8</v>
          </cell>
          <cell r="C10">
            <v>1</v>
          </cell>
          <cell r="D10">
            <v>1</v>
          </cell>
          <cell r="E10">
            <v>18233.100000000002</v>
          </cell>
          <cell r="F10">
            <v>19408.090000000004</v>
          </cell>
          <cell r="G10">
            <v>18046.980000000003</v>
          </cell>
          <cell r="H10">
            <v>16596.850000000002</v>
          </cell>
          <cell r="I10">
            <v>16410.730000000003</v>
          </cell>
          <cell r="J10">
            <v>745.33999999999992</v>
          </cell>
          <cell r="L10">
            <v>0</v>
          </cell>
          <cell r="M10">
            <v>1721063</v>
          </cell>
          <cell r="N10">
            <v>3991992</v>
          </cell>
          <cell r="O10">
            <v>4028728</v>
          </cell>
          <cell r="Q10">
            <v>27629907</v>
          </cell>
          <cell r="T10">
            <v>1120553</v>
          </cell>
          <cell r="V10">
            <v>0</v>
          </cell>
        </row>
        <row r="11">
          <cell r="A11">
            <v>9</v>
          </cell>
          <cell r="C11">
            <v>1</v>
          </cell>
          <cell r="D11">
            <v>1</v>
          </cell>
          <cell r="E11">
            <v>16728.79</v>
          </cell>
          <cell r="F11">
            <v>17570.739999999994</v>
          </cell>
          <cell r="G11">
            <v>16638.96</v>
          </cell>
          <cell r="H11">
            <v>14865.54</v>
          </cell>
          <cell r="I11">
            <v>14775.71</v>
          </cell>
          <cell r="J11">
            <v>366.55999999999995</v>
          </cell>
          <cell r="L11">
            <v>1411408</v>
          </cell>
          <cell r="M11">
            <v>1686990</v>
          </cell>
          <cell r="N11">
            <v>3597010</v>
          </cell>
          <cell r="O11">
            <v>1981338</v>
          </cell>
          <cell r="Q11">
            <v>13043685</v>
          </cell>
          <cell r="T11">
            <v>1014094</v>
          </cell>
          <cell r="V11">
            <v>0</v>
          </cell>
        </row>
        <row r="12">
          <cell r="A12">
            <v>10</v>
          </cell>
          <cell r="C12">
            <v>1</v>
          </cell>
          <cell r="D12">
            <v>1</v>
          </cell>
          <cell r="E12">
            <v>41363.46</v>
          </cell>
          <cell r="F12">
            <v>44070.479999999996</v>
          </cell>
          <cell r="G12">
            <v>40621.54</v>
          </cell>
          <cell r="H12">
            <v>38133.21</v>
          </cell>
          <cell r="I12">
            <v>37391.29</v>
          </cell>
          <cell r="J12">
            <v>1665.54</v>
          </cell>
          <cell r="L12">
            <v>20003369</v>
          </cell>
          <cell r="M12">
            <v>3388758</v>
          </cell>
          <cell r="N12">
            <v>10385709</v>
          </cell>
          <cell r="O12">
            <v>9002614</v>
          </cell>
          <cell r="Q12">
            <v>15737965</v>
          </cell>
          <cell r="T12">
            <v>2444841</v>
          </cell>
          <cell r="V12">
            <v>0</v>
          </cell>
        </row>
        <row r="13">
          <cell r="A13">
            <v>11</v>
          </cell>
          <cell r="C13">
            <v>1.0454000000000001</v>
          </cell>
          <cell r="D13">
            <v>1</v>
          </cell>
          <cell r="E13">
            <v>51895.39</v>
          </cell>
          <cell r="F13">
            <v>56105.840000000004</v>
          </cell>
          <cell r="G13">
            <v>51689.26</v>
          </cell>
          <cell r="H13">
            <v>47497.64</v>
          </cell>
          <cell r="I13">
            <v>47291.51</v>
          </cell>
          <cell r="J13">
            <v>2012.67</v>
          </cell>
          <cell r="L13">
            <v>0</v>
          </cell>
          <cell r="M13">
            <v>4312423</v>
          </cell>
          <cell r="N13">
            <v>11661614</v>
          </cell>
          <cell r="O13">
            <v>11216623</v>
          </cell>
          <cell r="Q13">
            <v>128983697</v>
          </cell>
          <cell r="T13">
            <v>3020667</v>
          </cell>
          <cell r="V13">
            <v>0</v>
          </cell>
        </row>
        <row r="14">
          <cell r="A14">
            <v>12</v>
          </cell>
          <cell r="C14">
            <v>1</v>
          </cell>
          <cell r="D14">
            <v>1.0373000000000001</v>
          </cell>
          <cell r="E14">
            <v>10316.380000000001</v>
          </cell>
          <cell r="F14">
            <v>10875.93</v>
          </cell>
          <cell r="G14">
            <v>10270.530000000001</v>
          </cell>
          <cell r="H14">
            <v>8857.880000000001</v>
          </cell>
          <cell r="I14">
            <v>8812.0300000000007</v>
          </cell>
          <cell r="J14">
            <v>192.18</v>
          </cell>
          <cell r="L14">
            <v>5191512</v>
          </cell>
          <cell r="M14">
            <v>1195213</v>
          </cell>
          <cell r="N14">
            <v>3792085</v>
          </cell>
          <cell r="O14">
            <v>1052887</v>
          </cell>
          <cell r="Q14">
            <v>3722663</v>
          </cell>
          <cell r="T14">
            <v>644678</v>
          </cell>
          <cell r="V14">
            <v>0</v>
          </cell>
        </row>
        <row r="15">
          <cell r="A15">
            <v>13</v>
          </cell>
          <cell r="C15">
            <v>1.0286999999999999</v>
          </cell>
          <cell r="D15">
            <v>1</v>
          </cell>
          <cell r="E15">
            <v>396765.5</v>
          </cell>
          <cell r="F15">
            <v>423446.13000000006</v>
          </cell>
          <cell r="G15">
            <v>395547.22</v>
          </cell>
          <cell r="H15">
            <v>324592.25</v>
          </cell>
          <cell r="I15">
            <v>323373.96999999997</v>
          </cell>
          <cell r="J15">
            <v>12198.96</v>
          </cell>
          <cell r="L15">
            <v>0</v>
          </cell>
          <cell r="M15">
            <v>37232402</v>
          </cell>
          <cell r="N15">
            <v>128655689</v>
          </cell>
          <cell r="O15">
            <v>66898842</v>
          </cell>
          <cell r="Q15">
            <v>419070407</v>
          </cell>
          <cell r="T15">
            <v>20059432</v>
          </cell>
          <cell r="V15">
            <v>0</v>
          </cell>
        </row>
        <row r="16">
          <cell r="A16">
            <v>14</v>
          </cell>
          <cell r="C16">
            <v>1</v>
          </cell>
          <cell r="D16">
            <v>1.0373000000000001</v>
          </cell>
          <cell r="E16">
            <v>4616.2300000000005</v>
          </cell>
          <cell r="F16">
            <v>4831.3000000000011</v>
          </cell>
          <cell r="G16">
            <v>4616.2300000000005</v>
          </cell>
          <cell r="H16">
            <v>3976.7300000000005</v>
          </cell>
          <cell r="I16">
            <v>3976.7300000000005</v>
          </cell>
          <cell r="J16">
            <v>86.710000000000008</v>
          </cell>
          <cell r="L16">
            <v>1768108</v>
          </cell>
          <cell r="M16">
            <v>657588</v>
          </cell>
          <cell r="N16">
            <v>2404687</v>
          </cell>
          <cell r="O16">
            <v>475053</v>
          </cell>
          <cell r="Q16">
            <v>2220705</v>
          </cell>
          <cell r="T16">
            <v>344532</v>
          </cell>
          <cell r="V16">
            <v>0</v>
          </cell>
        </row>
        <row r="17">
          <cell r="A17">
            <v>15</v>
          </cell>
          <cell r="C17">
            <v>1</v>
          </cell>
          <cell r="D17">
            <v>1.0373000000000001</v>
          </cell>
          <cell r="E17">
            <v>2064.2999999999997</v>
          </cell>
          <cell r="F17">
            <v>2167.13</v>
          </cell>
          <cell r="G17">
            <v>2050.41</v>
          </cell>
          <cell r="H17">
            <v>1819.0499999999997</v>
          </cell>
          <cell r="I17">
            <v>1805.1599999999999</v>
          </cell>
          <cell r="J17">
            <v>40.36</v>
          </cell>
          <cell r="L17">
            <v>1127810</v>
          </cell>
          <cell r="M17">
            <v>421120</v>
          </cell>
          <cell r="N17">
            <v>862259</v>
          </cell>
          <cell r="O17">
            <v>221118</v>
          </cell>
          <cell r="Q17">
            <v>655920</v>
          </cell>
          <cell r="T17">
            <v>211855</v>
          </cell>
          <cell r="V17">
            <v>0</v>
          </cell>
        </row>
        <row r="18">
          <cell r="A18">
            <v>16</v>
          </cell>
          <cell r="C18">
            <v>1.0088999999999999</v>
          </cell>
          <cell r="D18">
            <v>1</v>
          </cell>
          <cell r="E18">
            <v>154732.69</v>
          </cell>
          <cell r="F18">
            <v>164410.16</v>
          </cell>
          <cell r="G18">
            <v>152576.67000000001</v>
          </cell>
          <cell r="H18">
            <v>129383.69</v>
          </cell>
          <cell r="I18">
            <v>127227.67000000001</v>
          </cell>
          <cell r="J18">
            <v>3004.15</v>
          </cell>
          <cell r="L18">
            <v>42941416</v>
          </cell>
          <cell r="M18">
            <v>15392018</v>
          </cell>
          <cell r="N18">
            <v>39975088</v>
          </cell>
          <cell r="O18">
            <v>16238099</v>
          </cell>
          <cell r="Q18">
            <v>90759802</v>
          </cell>
          <cell r="T18">
            <v>8055904</v>
          </cell>
          <cell r="V18">
            <v>181.46</v>
          </cell>
        </row>
        <row r="19">
          <cell r="A19">
            <v>17</v>
          </cell>
          <cell r="C19">
            <v>1</v>
          </cell>
          <cell r="D19">
            <v>1</v>
          </cell>
          <cell r="E19">
            <v>41499.229999999996</v>
          </cell>
          <cell r="F19">
            <v>43701.08</v>
          </cell>
          <cell r="G19">
            <v>41225.649999999994</v>
          </cell>
          <cell r="H19">
            <v>35502.479999999996</v>
          </cell>
          <cell r="I19">
            <v>35228.899999999994</v>
          </cell>
          <cell r="J19">
            <v>1291.8400000000001</v>
          </cell>
          <cell r="L19">
            <v>9923711</v>
          </cell>
          <cell r="M19">
            <v>4588952</v>
          </cell>
          <cell r="N19">
            <v>10789165</v>
          </cell>
          <cell r="O19">
            <v>6982683</v>
          </cell>
          <cell r="Q19">
            <v>25934930</v>
          </cell>
          <cell r="T19">
            <v>2283075</v>
          </cell>
          <cell r="V19">
            <v>543.54999999999995</v>
          </cell>
        </row>
        <row r="20">
          <cell r="A20">
            <v>18</v>
          </cell>
          <cell r="C20">
            <v>1</v>
          </cell>
          <cell r="D20">
            <v>1</v>
          </cell>
          <cell r="E20">
            <v>15204.950000000003</v>
          </cell>
          <cell r="F20">
            <v>16132.7</v>
          </cell>
          <cell r="G20">
            <v>14960.230000000003</v>
          </cell>
          <cell r="H20">
            <v>13278.450000000003</v>
          </cell>
          <cell r="I20">
            <v>13033.730000000003</v>
          </cell>
          <cell r="J20">
            <v>462.77</v>
          </cell>
          <cell r="L20">
            <v>0</v>
          </cell>
          <cell r="M20">
            <v>1340441</v>
          </cell>
          <cell r="N20">
            <v>3205977</v>
          </cell>
          <cell r="O20">
            <v>2501375</v>
          </cell>
          <cell r="Q20">
            <v>14393901</v>
          </cell>
          <cell r="T20">
            <v>916502</v>
          </cell>
          <cell r="V20">
            <v>0</v>
          </cell>
        </row>
        <row r="21">
          <cell r="A21">
            <v>19</v>
          </cell>
          <cell r="C21">
            <v>1</v>
          </cell>
          <cell r="D21">
            <v>1.0373000000000001</v>
          </cell>
          <cell r="E21">
            <v>1210.3400000000001</v>
          </cell>
          <cell r="F21">
            <v>1302.6999999999998</v>
          </cell>
          <cell r="G21">
            <v>1192.1600000000001</v>
          </cell>
          <cell r="H21">
            <v>1142.8400000000001</v>
          </cell>
          <cell r="I21">
            <v>1124.6600000000001</v>
          </cell>
          <cell r="J21">
            <v>14.49</v>
          </cell>
          <cell r="L21">
            <v>0</v>
          </cell>
          <cell r="M21">
            <v>371988</v>
          </cell>
          <cell r="N21">
            <v>257995</v>
          </cell>
          <cell r="O21">
            <v>79386</v>
          </cell>
          <cell r="Q21">
            <v>3170047</v>
          </cell>
          <cell r="T21">
            <v>170274</v>
          </cell>
          <cell r="V21">
            <v>0</v>
          </cell>
        </row>
        <row r="22">
          <cell r="A22">
            <v>20</v>
          </cell>
          <cell r="C22">
            <v>1</v>
          </cell>
          <cell r="D22">
            <v>1.0373000000000001</v>
          </cell>
          <cell r="E22">
            <v>5116.99</v>
          </cell>
          <cell r="F22">
            <v>5386.69</v>
          </cell>
          <cell r="G22">
            <v>5100.53</v>
          </cell>
          <cell r="H22">
            <v>4180.74</v>
          </cell>
          <cell r="I22">
            <v>4164.28</v>
          </cell>
          <cell r="J22">
            <v>47.8</v>
          </cell>
          <cell r="L22">
            <v>2331864</v>
          </cell>
          <cell r="M22">
            <v>624243</v>
          </cell>
          <cell r="N22">
            <v>1438247</v>
          </cell>
          <cell r="O22">
            <v>261880</v>
          </cell>
          <cell r="Q22">
            <v>2089630</v>
          </cell>
          <cell r="T22">
            <v>357077</v>
          </cell>
          <cell r="V22">
            <v>0</v>
          </cell>
        </row>
        <row r="23">
          <cell r="A23">
            <v>21</v>
          </cell>
          <cell r="C23">
            <v>1</v>
          </cell>
          <cell r="D23">
            <v>1.0373000000000001</v>
          </cell>
          <cell r="E23">
            <v>3032.1700000000005</v>
          </cell>
          <cell r="F23">
            <v>3341.8199999999997</v>
          </cell>
          <cell r="G23">
            <v>2980.7900000000004</v>
          </cell>
          <cell r="H23">
            <v>2685.1700000000005</v>
          </cell>
          <cell r="I23">
            <v>2633.7900000000004</v>
          </cell>
          <cell r="J23">
            <v>102.86000000000001</v>
          </cell>
          <cell r="L23">
            <v>1413537</v>
          </cell>
          <cell r="M23">
            <v>449309</v>
          </cell>
          <cell r="N23">
            <v>2156393</v>
          </cell>
          <cell r="O23">
            <v>563534</v>
          </cell>
          <cell r="Q23">
            <v>1206486</v>
          </cell>
          <cell r="T23">
            <v>265113</v>
          </cell>
          <cell r="V23">
            <v>0</v>
          </cell>
        </row>
        <row r="24">
          <cell r="A24">
            <v>22</v>
          </cell>
          <cell r="C24">
            <v>1</v>
          </cell>
          <cell r="D24">
            <v>1.0373000000000001</v>
          </cell>
          <cell r="E24">
            <v>1966.69</v>
          </cell>
          <cell r="F24">
            <v>2078.33</v>
          </cell>
          <cell r="G24">
            <v>1923.65</v>
          </cell>
          <cell r="H24">
            <v>1852.19</v>
          </cell>
          <cell r="I24">
            <v>1809.15</v>
          </cell>
          <cell r="J24">
            <v>30.18</v>
          </cell>
          <cell r="L24">
            <v>755740</v>
          </cell>
          <cell r="M24">
            <v>395557</v>
          </cell>
          <cell r="N24">
            <v>1672979</v>
          </cell>
          <cell r="O24">
            <v>165346</v>
          </cell>
          <cell r="Q24">
            <v>943635</v>
          </cell>
          <cell r="T24">
            <v>213893</v>
          </cell>
          <cell r="V24">
            <v>1514.77</v>
          </cell>
        </row>
        <row r="25">
          <cell r="A25">
            <v>23</v>
          </cell>
          <cell r="C25">
            <v>1</v>
          </cell>
          <cell r="D25">
            <v>1.0373000000000001</v>
          </cell>
          <cell r="E25">
            <v>1933.45</v>
          </cell>
          <cell r="F25">
            <v>2092.21</v>
          </cell>
          <cell r="G25">
            <v>1926.3700000000001</v>
          </cell>
          <cell r="H25">
            <v>1843.7</v>
          </cell>
          <cell r="I25">
            <v>1836.6200000000001</v>
          </cell>
          <cell r="J25">
            <v>23.799999999999997</v>
          </cell>
          <cell r="L25">
            <v>0</v>
          </cell>
          <cell r="M25">
            <v>420523</v>
          </cell>
          <cell r="N25">
            <v>385717</v>
          </cell>
          <cell r="O25">
            <v>130391</v>
          </cell>
          <cell r="Q25">
            <v>3413546</v>
          </cell>
          <cell r="T25">
            <v>213371</v>
          </cell>
          <cell r="V25">
            <v>0</v>
          </cell>
        </row>
        <row r="26">
          <cell r="A26">
            <v>24</v>
          </cell>
          <cell r="C26">
            <v>1</v>
          </cell>
          <cell r="D26">
            <v>1.0373000000000001</v>
          </cell>
          <cell r="E26">
            <v>1633.2199999999998</v>
          </cell>
          <cell r="F26">
            <v>1758.99</v>
          </cell>
          <cell r="G26">
            <v>1630.2099999999998</v>
          </cell>
          <cell r="H26">
            <v>1454.2199999999998</v>
          </cell>
          <cell r="I26">
            <v>1451.2099999999998</v>
          </cell>
          <cell r="J26">
            <v>37.760000000000005</v>
          </cell>
          <cell r="L26">
            <v>414070</v>
          </cell>
          <cell r="M26">
            <v>409421</v>
          </cell>
          <cell r="N26">
            <v>867875</v>
          </cell>
          <cell r="O26">
            <v>206874</v>
          </cell>
          <cell r="Q26">
            <v>997159</v>
          </cell>
          <cell r="T26">
            <v>189421</v>
          </cell>
          <cell r="V26">
            <v>0</v>
          </cell>
        </row>
        <row r="27">
          <cell r="A27">
            <v>25</v>
          </cell>
          <cell r="C27">
            <v>1</v>
          </cell>
          <cell r="D27">
            <v>1.0373000000000001</v>
          </cell>
          <cell r="E27">
            <v>4428.4000000000005</v>
          </cell>
          <cell r="F27">
            <v>4642.0900000000011</v>
          </cell>
          <cell r="G27">
            <v>4368.68</v>
          </cell>
          <cell r="H27">
            <v>4240.4000000000005</v>
          </cell>
          <cell r="I27">
            <v>4180.68</v>
          </cell>
          <cell r="J27">
            <v>143.24</v>
          </cell>
          <cell r="L27">
            <v>1238004</v>
          </cell>
          <cell r="M27">
            <v>639988</v>
          </cell>
          <cell r="N27">
            <v>1103048</v>
          </cell>
          <cell r="O27">
            <v>784762</v>
          </cell>
          <cell r="Q27">
            <v>2588469</v>
          </cell>
          <cell r="T27">
            <v>360746</v>
          </cell>
          <cell r="V27">
            <v>0</v>
          </cell>
        </row>
        <row r="28">
          <cell r="A28">
            <v>26</v>
          </cell>
          <cell r="C28">
            <v>1</v>
          </cell>
          <cell r="D28">
            <v>1.0373000000000001</v>
          </cell>
          <cell r="E28">
            <v>13774.81</v>
          </cell>
          <cell r="F28">
            <v>14382.029999999999</v>
          </cell>
          <cell r="G28">
            <v>8025.2799999999988</v>
          </cell>
          <cell r="H28">
            <v>13064.06</v>
          </cell>
          <cell r="I28">
            <v>7314.5299999999988</v>
          </cell>
          <cell r="J28">
            <v>301.35000000000002</v>
          </cell>
          <cell r="L28">
            <v>8167911</v>
          </cell>
          <cell r="M28">
            <v>906057</v>
          </cell>
          <cell r="N28">
            <v>4055977</v>
          </cell>
          <cell r="O28">
            <v>1650991</v>
          </cell>
          <cell r="Q28">
            <v>3734558</v>
          </cell>
          <cell r="T28">
            <v>903319</v>
          </cell>
          <cell r="V28">
            <v>0</v>
          </cell>
        </row>
        <row r="29">
          <cell r="A29">
            <v>27</v>
          </cell>
          <cell r="C29">
            <v>1</v>
          </cell>
          <cell r="D29">
            <v>1</v>
          </cell>
          <cell r="E29">
            <v>26356.339999999997</v>
          </cell>
          <cell r="F29">
            <v>28298.7</v>
          </cell>
          <cell r="G29">
            <v>25955.869999999995</v>
          </cell>
          <cell r="H29">
            <v>23141.839999999997</v>
          </cell>
          <cell r="I29">
            <v>22741.369999999995</v>
          </cell>
          <cell r="J29">
            <v>777.74</v>
          </cell>
          <cell r="L29">
            <v>7766159</v>
          </cell>
          <cell r="M29">
            <v>2306367</v>
          </cell>
          <cell r="N29">
            <v>6103523</v>
          </cell>
          <cell r="O29">
            <v>4203858</v>
          </cell>
          <cell r="Q29">
            <v>15007736</v>
          </cell>
          <cell r="T29">
            <v>1523010</v>
          </cell>
          <cell r="V29">
            <v>0</v>
          </cell>
        </row>
        <row r="30">
          <cell r="A30">
            <v>28</v>
          </cell>
          <cell r="C30">
            <v>1</v>
          </cell>
          <cell r="D30">
            <v>1.0373000000000001</v>
          </cell>
          <cell r="E30">
            <v>13150.74</v>
          </cell>
          <cell r="F30">
            <v>13770.07</v>
          </cell>
          <cell r="G30">
            <v>12899.08</v>
          </cell>
          <cell r="H30">
            <v>11589.24</v>
          </cell>
          <cell r="I30">
            <v>11337.58</v>
          </cell>
          <cell r="J30">
            <v>314.75</v>
          </cell>
          <cell r="L30">
            <v>4322780</v>
          </cell>
          <cell r="M30">
            <v>1428733</v>
          </cell>
          <cell r="N30">
            <v>2867594</v>
          </cell>
          <cell r="O30">
            <v>1724405</v>
          </cell>
          <cell r="Q30">
            <v>7040550</v>
          </cell>
          <cell r="T30">
            <v>812631</v>
          </cell>
          <cell r="V30">
            <v>0</v>
          </cell>
        </row>
        <row r="31">
          <cell r="A31">
            <v>29</v>
          </cell>
          <cell r="C31">
            <v>1.0133000000000001</v>
          </cell>
          <cell r="D31">
            <v>1</v>
          </cell>
          <cell r="E31">
            <v>237811.45</v>
          </cell>
          <cell r="F31">
            <v>254558.66999999998</v>
          </cell>
          <cell r="G31">
            <v>231737.46000000002</v>
          </cell>
          <cell r="H31">
            <v>211105.2</v>
          </cell>
          <cell r="I31">
            <v>205031.21000000002</v>
          </cell>
          <cell r="J31">
            <v>9564.52</v>
          </cell>
          <cell r="L31">
            <v>68056881</v>
          </cell>
          <cell r="M31">
            <v>17940855</v>
          </cell>
          <cell r="N31">
            <v>60838035</v>
          </cell>
          <cell r="O31">
            <v>51698358</v>
          </cell>
          <cell r="Q31">
            <v>137431190</v>
          </cell>
          <cell r="T31">
            <v>13081024</v>
          </cell>
          <cell r="V31">
            <v>77.099999999999994</v>
          </cell>
        </row>
        <row r="32">
          <cell r="A32">
            <v>30</v>
          </cell>
          <cell r="C32">
            <v>1</v>
          </cell>
          <cell r="D32">
            <v>1.0373000000000001</v>
          </cell>
          <cell r="E32">
            <v>2872.66</v>
          </cell>
          <cell r="F32">
            <v>2991.23</v>
          </cell>
          <cell r="G32">
            <v>2835.31</v>
          </cell>
          <cell r="H32">
            <v>2732.91</v>
          </cell>
          <cell r="I32">
            <v>2695.56</v>
          </cell>
          <cell r="J32">
            <v>31.32</v>
          </cell>
          <cell r="L32">
            <v>1859358</v>
          </cell>
          <cell r="M32">
            <v>477916</v>
          </cell>
          <cell r="N32">
            <v>2426657</v>
          </cell>
          <cell r="O32">
            <v>171591</v>
          </cell>
          <cell r="Q32">
            <v>622840</v>
          </cell>
          <cell r="T32">
            <v>268049</v>
          </cell>
          <cell r="V32">
            <v>0</v>
          </cell>
        </row>
        <row r="33">
          <cell r="A33">
            <v>31</v>
          </cell>
          <cell r="C33">
            <v>1</v>
          </cell>
          <cell r="D33">
            <v>1</v>
          </cell>
          <cell r="E33">
            <v>18045.689999999999</v>
          </cell>
          <cell r="F33">
            <v>19345.889999999996</v>
          </cell>
          <cell r="G33">
            <v>18010.699999999997</v>
          </cell>
          <cell r="H33">
            <v>15811.939999999999</v>
          </cell>
          <cell r="I33">
            <v>15776.949999999997</v>
          </cell>
          <cell r="J33">
            <v>485.03000000000003</v>
          </cell>
          <cell r="L33">
            <v>0</v>
          </cell>
          <cell r="M33">
            <v>1708786</v>
          </cell>
          <cell r="N33">
            <v>3903279</v>
          </cell>
          <cell r="O33">
            <v>2621695</v>
          </cell>
          <cell r="Q33">
            <v>24883143</v>
          </cell>
          <cell r="T33">
            <v>1072289</v>
          </cell>
          <cell r="V33">
            <v>0</v>
          </cell>
        </row>
        <row r="34">
          <cell r="A34">
            <v>32</v>
          </cell>
          <cell r="C34">
            <v>1</v>
          </cell>
          <cell r="D34">
            <v>1.0373000000000001</v>
          </cell>
          <cell r="E34">
            <v>5908.2100000000009</v>
          </cell>
          <cell r="F34">
            <v>6362.43</v>
          </cell>
          <cell r="G34">
            <v>5815.5900000000011</v>
          </cell>
          <cell r="H34">
            <v>5584.7100000000009</v>
          </cell>
          <cell r="I34">
            <v>5492.0900000000011</v>
          </cell>
          <cell r="J34">
            <v>162.97999999999999</v>
          </cell>
          <cell r="L34">
            <v>3196460</v>
          </cell>
          <cell r="M34">
            <v>689063</v>
          </cell>
          <cell r="N34">
            <v>2492329</v>
          </cell>
          <cell r="O34">
            <v>892910</v>
          </cell>
          <cell r="Q34">
            <v>1908685</v>
          </cell>
          <cell r="T34">
            <v>443408</v>
          </cell>
          <cell r="V34">
            <v>0</v>
          </cell>
        </row>
        <row r="35">
          <cell r="A35">
            <v>33</v>
          </cell>
          <cell r="C35">
            <v>1</v>
          </cell>
          <cell r="D35">
            <v>1.0373000000000001</v>
          </cell>
          <cell r="E35">
            <v>1116.8200000000002</v>
          </cell>
          <cell r="F35">
            <v>1164.9099999999999</v>
          </cell>
          <cell r="G35">
            <v>1105.1200000000001</v>
          </cell>
          <cell r="H35">
            <v>679.32000000000016</v>
          </cell>
          <cell r="I35">
            <v>667.62000000000012</v>
          </cell>
          <cell r="J35">
            <v>10.6</v>
          </cell>
          <cell r="L35">
            <v>25341</v>
          </cell>
          <cell r="M35">
            <v>361303</v>
          </cell>
          <cell r="N35">
            <v>1396695</v>
          </cell>
          <cell r="O35">
            <v>58073</v>
          </cell>
          <cell r="Q35">
            <v>939677</v>
          </cell>
          <cell r="T35">
            <v>141772</v>
          </cell>
          <cell r="V35">
            <v>0</v>
          </cell>
        </row>
        <row r="36">
          <cell r="A36">
            <v>34</v>
          </cell>
          <cell r="C36">
            <v>1</v>
          </cell>
          <cell r="D36">
            <v>1.0373000000000001</v>
          </cell>
          <cell r="E36">
            <v>1213.83</v>
          </cell>
          <cell r="F36">
            <v>1276.4899999999996</v>
          </cell>
          <cell r="G36">
            <v>1213.83</v>
          </cell>
          <cell r="H36">
            <v>1150.08</v>
          </cell>
          <cell r="I36">
            <v>1150.08</v>
          </cell>
          <cell r="J36">
            <v>76.55</v>
          </cell>
          <cell r="L36">
            <v>740376</v>
          </cell>
          <cell r="M36">
            <v>335906</v>
          </cell>
          <cell r="N36">
            <v>788844</v>
          </cell>
          <cell r="O36">
            <v>419391</v>
          </cell>
          <cell r="Q36">
            <v>308466</v>
          </cell>
          <cell r="T36">
            <v>170719</v>
          </cell>
          <cell r="V36">
            <v>0</v>
          </cell>
        </row>
        <row r="37">
          <cell r="A37">
            <v>35</v>
          </cell>
          <cell r="C37">
            <v>1</v>
          </cell>
          <cell r="D37">
            <v>1</v>
          </cell>
          <cell r="E37">
            <v>53533.459999999992</v>
          </cell>
          <cell r="F37">
            <v>56491.6</v>
          </cell>
          <cell r="G37">
            <v>53238.859999999993</v>
          </cell>
          <cell r="H37">
            <v>45639.209999999992</v>
          </cell>
          <cell r="I37">
            <v>45344.609999999993</v>
          </cell>
          <cell r="J37">
            <v>1688.27</v>
          </cell>
          <cell r="L37">
            <v>10828748</v>
          </cell>
          <cell r="M37">
            <v>4502120</v>
          </cell>
          <cell r="N37">
            <v>12223642</v>
          </cell>
          <cell r="O37">
            <v>9125475</v>
          </cell>
          <cell r="Q37">
            <v>35428640</v>
          </cell>
          <cell r="T37">
            <v>2906391</v>
          </cell>
          <cell r="V37">
            <v>0</v>
          </cell>
        </row>
        <row r="38">
          <cell r="A38">
            <v>36</v>
          </cell>
          <cell r="C38">
            <v>1.0054000000000001</v>
          </cell>
          <cell r="D38">
            <v>1</v>
          </cell>
          <cell r="E38">
            <v>111725.43</v>
          </cell>
          <cell r="F38">
            <v>120876.37999999999</v>
          </cell>
          <cell r="G38">
            <v>110994.01</v>
          </cell>
          <cell r="H38">
            <v>101932.43</v>
          </cell>
          <cell r="I38">
            <v>101201.01</v>
          </cell>
          <cell r="J38">
            <v>2858.34</v>
          </cell>
          <cell r="L38">
            <v>0</v>
          </cell>
          <cell r="M38">
            <v>8981663</v>
          </cell>
          <cell r="N38">
            <v>40743681</v>
          </cell>
          <cell r="O38">
            <v>15449963</v>
          </cell>
          <cell r="Q38">
            <v>121445626</v>
          </cell>
          <cell r="T38">
            <v>6367905</v>
          </cell>
          <cell r="V38">
            <v>0</v>
          </cell>
        </row>
        <row r="39">
          <cell r="A39">
            <v>37</v>
          </cell>
          <cell r="C39">
            <v>1</v>
          </cell>
          <cell r="D39">
            <v>1</v>
          </cell>
          <cell r="E39">
            <v>34928.329999999994</v>
          </cell>
          <cell r="F39">
            <v>36583.800000000003</v>
          </cell>
          <cell r="G39">
            <v>34825.749999999993</v>
          </cell>
          <cell r="H39">
            <v>30775.329999999994</v>
          </cell>
          <cell r="I39">
            <v>30672.749999999993</v>
          </cell>
          <cell r="J39">
            <v>1052.17</v>
          </cell>
          <cell r="L39">
            <v>9239940</v>
          </cell>
          <cell r="M39">
            <v>4065739</v>
          </cell>
          <cell r="N39">
            <v>9823648</v>
          </cell>
          <cell r="O39">
            <v>5687213</v>
          </cell>
          <cell r="Q39">
            <v>20941084</v>
          </cell>
          <cell r="T39">
            <v>1992399</v>
          </cell>
          <cell r="V39">
            <v>0</v>
          </cell>
        </row>
        <row r="40">
          <cell r="A40">
            <v>38</v>
          </cell>
          <cell r="C40">
            <v>1</v>
          </cell>
          <cell r="D40">
            <v>1.0373000000000001</v>
          </cell>
          <cell r="E40">
            <v>5961.9</v>
          </cell>
          <cell r="F40">
            <v>6358.37</v>
          </cell>
          <cell r="G40">
            <v>5935.0099999999993</v>
          </cell>
          <cell r="H40">
            <v>5265.15</v>
          </cell>
          <cell r="I40">
            <v>5238.2599999999993</v>
          </cell>
          <cell r="J40">
            <v>112.5</v>
          </cell>
          <cell r="L40">
            <v>2316437</v>
          </cell>
          <cell r="M40">
            <v>811081</v>
          </cell>
          <cell r="N40">
            <v>3329185</v>
          </cell>
          <cell r="O40">
            <v>616348</v>
          </cell>
          <cell r="Q40">
            <v>2835110</v>
          </cell>
          <cell r="T40">
            <v>423758</v>
          </cell>
          <cell r="V40">
            <v>0</v>
          </cell>
        </row>
        <row r="41">
          <cell r="A41">
            <v>39</v>
          </cell>
          <cell r="C41">
            <v>1</v>
          </cell>
          <cell r="D41">
            <v>1.0373000000000001</v>
          </cell>
          <cell r="E41">
            <v>1210.9100000000001</v>
          </cell>
          <cell r="F41">
            <v>1355.89</v>
          </cell>
          <cell r="G41">
            <v>1202.0500000000002</v>
          </cell>
          <cell r="H41">
            <v>1177.1600000000001</v>
          </cell>
          <cell r="I41">
            <v>1168.3000000000002</v>
          </cell>
          <cell r="J41">
            <v>2</v>
          </cell>
          <cell r="L41">
            <v>746005</v>
          </cell>
          <cell r="M41">
            <v>339629</v>
          </cell>
          <cell r="N41">
            <v>776657</v>
          </cell>
          <cell r="O41">
            <v>10957</v>
          </cell>
          <cell r="Q41">
            <v>300320</v>
          </cell>
          <cell r="T41">
            <v>172385</v>
          </cell>
          <cell r="V41">
            <v>0</v>
          </cell>
        </row>
        <row r="42">
          <cell r="A42">
            <v>40</v>
          </cell>
          <cell r="C42">
            <v>1</v>
          </cell>
          <cell r="D42">
            <v>1.0373000000000001</v>
          </cell>
          <cell r="E42">
            <v>2266.6299999999997</v>
          </cell>
          <cell r="F42">
            <v>2360.52</v>
          </cell>
          <cell r="G42">
            <v>2259.8999999999996</v>
          </cell>
          <cell r="H42">
            <v>2072.6299999999997</v>
          </cell>
          <cell r="I42">
            <v>2065.8999999999996</v>
          </cell>
          <cell r="J42">
            <v>32.76</v>
          </cell>
          <cell r="L42">
            <v>884666</v>
          </cell>
          <cell r="M42">
            <v>444710</v>
          </cell>
          <cell r="N42">
            <v>961022</v>
          </cell>
          <cell r="O42">
            <v>179481</v>
          </cell>
          <cell r="Q42">
            <v>1073873</v>
          </cell>
          <cell r="T42">
            <v>227448</v>
          </cell>
          <cell r="V42">
            <v>0</v>
          </cell>
        </row>
        <row r="43">
          <cell r="A43">
            <v>41</v>
          </cell>
          <cell r="C43">
            <v>1</v>
          </cell>
          <cell r="D43">
            <v>1</v>
          </cell>
          <cell r="E43">
            <v>59562.929999999993</v>
          </cell>
          <cell r="F43">
            <v>62891.210000000006</v>
          </cell>
          <cell r="G43">
            <v>59460.549999999996</v>
          </cell>
          <cell r="H43">
            <v>53942.179999999993</v>
          </cell>
          <cell r="I43">
            <v>53839.799999999996</v>
          </cell>
          <cell r="J43">
            <v>1417.92</v>
          </cell>
          <cell r="L43">
            <v>0</v>
          </cell>
          <cell r="M43">
            <v>5401876</v>
          </cell>
          <cell r="N43">
            <v>14678431</v>
          </cell>
          <cell r="O43">
            <v>7664173</v>
          </cell>
          <cell r="Q43">
            <v>57773364</v>
          </cell>
          <cell r="T43">
            <v>3416947</v>
          </cell>
          <cell r="V43">
            <v>0</v>
          </cell>
        </row>
        <row r="44">
          <cell r="A44">
            <v>42</v>
          </cell>
          <cell r="C44">
            <v>1</v>
          </cell>
          <cell r="D44">
            <v>1</v>
          </cell>
          <cell r="E44">
            <v>53624.4</v>
          </cell>
          <cell r="F44">
            <v>57795.37</v>
          </cell>
          <cell r="G44">
            <v>52738.47</v>
          </cell>
          <cell r="H44">
            <v>46332.15</v>
          </cell>
          <cell r="I44">
            <v>45446.22</v>
          </cell>
          <cell r="J44">
            <v>1303.5500000000002</v>
          </cell>
          <cell r="L44">
            <v>15528554</v>
          </cell>
          <cell r="M44">
            <v>4745617</v>
          </cell>
          <cell r="N44">
            <v>15458700</v>
          </cell>
          <cell r="O44">
            <v>7045978</v>
          </cell>
          <cell r="Q44">
            <v>30807460</v>
          </cell>
          <cell r="T44">
            <v>2949000</v>
          </cell>
          <cell r="V44">
            <v>0</v>
          </cell>
        </row>
        <row r="45">
          <cell r="A45">
            <v>43</v>
          </cell>
          <cell r="C45">
            <v>1</v>
          </cell>
          <cell r="D45">
            <v>1</v>
          </cell>
          <cell r="E45">
            <v>20201.160000000003</v>
          </cell>
          <cell r="F45">
            <v>21755.16</v>
          </cell>
          <cell r="G45">
            <v>20185.410000000003</v>
          </cell>
          <cell r="H45">
            <v>17497.160000000003</v>
          </cell>
          <cell r="I45">
            <v>17481.410000000003</v>
          </cell>
          <cell r="J45">
            <v>921.9</v>
          </cell>
          <cell r="L45">
            <v>0</v>
          </cell>
          <cell r="M45">
            <v>1829036</v>
          </cell>
          <cell r="N45">
            <v>4658389</v>
          </cell>
          <cell r="O45">
            <v>4983075</v>
          </cell>
          <cell r="Q45">
            <v>30547306</v>
          </cell>
          <cell r="T45">
            <v>1175914</v>
          </cell>
          <cell r="V45">
            <v>0</v>
          </cell>
        </row>
        <row r="46">
          <cell r="A46">
            <v>44</v>
          </cell>
          <cell r="C46">
            <v>1.0267999999999999</v>
          </cell>
          <cell r="D46">
            <v>1</v>
          </cell>
          <cell r="E46">
            <v>9199.69</v>
          </cell>
          <cell r="F46">
            <v>9836.67</v>
          </cell>
          <cell r="G46">
            <v>9184.07</v>
          </cell>
          <cell r="H46">
            <v>8456.94</v>
          </cell>
          <cell r="I46">
            <v>8441.32</v>
          </cell>
          <cell r="J46">
            <v>276.74</v>
          </cell>
          <cell r="L46">
            <v>0</v>
          </cell>
          <cell r="M46">
            <v>1060185</v>
          </cell>
          <cell r="N46">
            <v>1991106</v>
          </cell>
          <cell r="O46">
            <v>1514833</v>
          </cell>
          <cell r="Q46">
            <v>42406408</v>
          </cell>
          <cell r="T46">
            <v>620024</v>
          </cell>
          <cell r="V46">
            <v>4040.57</v>
          </cell>
        </row>
        <row r="47">
          <cell r="A47">
            <v>45</v>
          </cell>
          <cell r="C47">
            <v>1</v>
          </cell>
          <cell r="D47">
            <v>1</v>
          </cell>
          <cell r="E47">
            <v>13860.19</v>
          </cell>
          <cell r="F47">
            <v>14611.210000000003</v>
          </cell>
          <cell r="G47">
            <v>13750.35</v>
          </cell>
          <cell r="H47">
            <v>12195.19</v>
          </cell>
          <cell r="I47">
            <v>12085.35</v>
          </cell>
          <cell r="J47">
            <v>462.88</v>
          </cell>
          <cell r="L47">
            <v>0</v>
          </cell>
          <cell r="M47">
            <v>1287288</v>
          </cell>
          <cell r="N47">
            <v>5272434</v>
          </cell>
          <cell r="O47">
            <v>2501969</v>
          </cell>
          <cell r="Q47">
            <v>14512499</v>
          </cell>
          <cell r="T47">
            <v>849892</v>
          </cell>
          <cell r="V47">
            <v>0</v>
          </cell>
        </row>
        <row r="48">
          <cell r="A48">
            <v>46</v>
          </cell>
          <cell r="C48">
            <v>1.0004</v>
          </cell>
          <cell r="D48">
            <v>1</v>
          </cell>
          <cell r="E48">
            <v>33623.679999999993</v>
          </cell>
          <cell r="F48">
            <v>35752.1</v>
          </cell>
          <cell r="G48">
            <v>33030.55999999999</v>
          </cell>
          <cell r="H48">
            <v>30688.679999999993</v>
          </cell>
          <cell r="I48">
            <v>30095.55999999999</v>
          </cell>
          <cell r="J48">
            <v>1063.47</v>
          </cell>
          <cell r="L48">
            <v>5421482</v>
          </cell>
          <cell r="M48">
            <v>2978567</v>
          </cell>
          <cell r="N48">
            <v>8973082</v>
          </cell>
          <cell r="O48">
            <v>5748292</v>
          </cell>
          <cell r="Q48">
            <v>23631914</v>
          </cell>
          <cell r="T48">
            <v>1987071</v>
          </cell>
          <cell r="V48">
            <v>214.17</v>
          </cell>
        </row>
        <row r="49">
          <cell r="A49">
            <v>47</v>
          </cell>
          <cell r="C49">
            <v>1</v>
          </cell>
          <cell r="D49">
            <v>1.0373000000000001</v>
          </cell>
          <cell r="E49">
            <v>6262.3200000000006</v>
          </cell>
          <cell r="F49">
            <v>6515.9800000000005</v>
          </cell>
          <cell r="G49">
            <v>6229.170000000001</v>
          </cell>
          <cell r="H49">
            <v>5813.0700000000006</v>
          </cell>
          <cell r="I49">
            <v>5779.920000000001</v>
          </cell>
          <cell r="J49">
            <v>191.64</v>
          </cell>
          <cell r="L49">
            <v>1581236</v>
          </cell>
          <cell r="M49">
            <v>876187</v>
          </cell>
          <cell r="N49">
            <v>1928053</v>
          </cell>
          <cell r="O49">
            <v>1049928</v>
          </cell>
          <cell r="Q49">
            <v>3829940</v>
          </cell>
          <cell r="T49">
            <v>457450</v>
          </cell>
          <cell r="V49">
            <v>0</v>
          </cell>
        </row>
        <row r="50">
          <cell r="A50">
            <v>48</v>
          </cell>
          <cell r="C50">
            <v>1.0089999999999999</v>
          </cell>
          <cell r="D50">
            <v>1</v>
          </cell>
          <cell r="E50">
            <v>230961.28000000003</v>
          </cell>
          <cell r="F50">
            <v>254503.63000000003</v>
          </cell>
          <cell r="G50">
            <v>228279.19000000003</v>
          </cell>
          <cell r="H50">
            <v>200344.53000000003</v>
          </cell>
          <cell r="I50">
            <v>197662.44000000003</v>
          </cell>
          <cell r="J50">
            <v>7988.45</v>
          </cell>
          <cell r="L50">
            <v>18294443</v>
          </cell>
          <cell r="M50">
            <v>21108003</v>
          </cell>
          <cell r="N50">
            <v>54497091</v>
          </cell>
          <cell r="O50">
            <v>43179349</v>
          </cell>
          <cell r="Q50">
            <v>181275593</v>
          </cell>
          <cell r="T50">
            <v>12419342</v>
          </cell>
          <cell r="V50">
            <v>0</v>
          </cell>
        </row>
        <row r="51">
          <cell r="A51">
            <v>49</v>
          </cell>
          <cell r="C51">
            <v>1</v>
          </cell>
          <cell r="D51">
            <v>1</v>
          </cell>
          <cell r="E51">
            <v>84955.200000000012</v>
          </cell>
          <cell r="F51">
            <v>91341.970000000016</v>
          </cell>
          <cell r="G51">
            <v>82567.910000000018</v>
          </cell>
          <cell r="H51">
            <v>74169.200000000012</v>
          </cell>
          <cell r="I51">
            <v>71781.910000000018</v>
          </cell>
          <cell r="J51">
            <v>1803.05</v>
          </cell>
          <cell r="L51">
            <v>28550894</v>
          </cell>
          <cell r="M51">
            <v>6479103</v>
          </cell>
          <cell r="N51">
            <v>20266294</v>
          </cell>
          <cell r="O51">
            <v>9745886</v>
          </cell>
          <cell r="Q51">
            <v>44856932</v>
          </cell>
          <cell r="T51">
            <v>4660722</v>
          </cell>
          <cell r="V51">
            <v>0</v>
          </cell>
        </row>
        <row r="52">
          <cell r="A52">
            <v>50</v>
          </cell>
          <cell r="C52">
            <v>1.0355000000000001</v>
          </cell>
          <cell r="D52">
            <v>1</v>
          </cell>
          <cell r="E52">
            <v>215320.92</v>
          </cell>
          <cell r="F52">
            <v>229051.25000000003</v>
          </cell>
          <cell r="G52">
            <v>215016.58000000002</v>
          </cell>
          <cell r="H52">
            <v>186156.17</v>
          </cell>
          <cell r="I52">
            <v>185851.83000000002</v>
          </cell>
          <cell r="J52">
            <v>11461.43</v>
          </cell>
          <cell r="L52">
            <v>0</v>
          </cell>
          <cell r="M52">
            <v>19167881</v>
          </cell>
          <cell r="N52">
            <v>47290747</v>
          </cell>
          <cell r="O52">
            <v>63269727</v>
          </cell>
          <cell r="Q52">
            <v>268816278</v>
          </cell>
          <cell r="T52">
            <v>11546889</v>
          </cell>
          <cell r="V52">
            <v>0</v>
          </cell>
        </row>
        <row r="53">
          <cell r="A53">
            <v>51</v>
          </cell>
          <cell r="C53">
            <v>1</v>
          </cell>
          <cell r="D53">
            <v>1</v>
          </cell>
          <cell r="E53">
            <v>93901.36</v>
          </cell>
          <cell r="F53">
            <v>101315.32</v>
          </cell>
          <cell r="G53">
            <v>91766.33</v>
          </cell>
          <cell r="H53">
            <v>84622.86</v>
          </cell>
          <cell r="I53">
            <v>82487.83</v>
          </cell>
          <cell r="J53">
            <v>2646.09</v>
          </cell>
          <cell r="L53">
            <v>33168777</v>
          </cell>
          <cell r="M53">
            <v>7423256</v>
          </cell>
          <cell r="N53">
            <v>24092332</v>
          </cell>
          <cell r="O53">
            <v>14302705</v>
          </cell>
          <cell r="Q53">
            <v>47969066</v>
          </cell>
          <cell r="T53">
            <v>5303526</v>
          </cell>
          <cell r="V53">
            <v>0</v>
          </cell>
        </row>
        <row r="54">
          <cell r="A54">
            <v>52</v>
          </cell>
          <cell r="C54">
            <v>1.0024999999999999</v>
          </cell>
          <cell r="D54">
            <v>1</v>
          </cell>
          <cell r="E54">
            <v>98886.24</v>
          </cell>
          <cell r="F54">
            <v>105736.72</v>
          </cell>
          <cell r="G54">
            <v>98416.37000000001</v>
          </cell>
          <cell r="H54">
            <v>81492.740000000005</v>
          </cell>
          <cell r="I54">
            <v>81022.87000000001</v>
          </cell>
          <cell r="J54">
            <v>3640.29</v>
          </cell>
          <cell r="L54">
            <v>0</v>
          </cell>
          <cell r="M54">
            <v>9935895</v>
          </cell>
          <cell r="N54">
            <v>23134736</v>
          </cell>
          <cell r="O54">
            <v>19676577</v>
          </cell>
          <cell r="Q54">
            <v>109328925</v>
          </cell>
          <cell r="T54">
            <v>5111052</v>
          </cell>
          <cell r="V54">
            <v>0</v>
          </cell>
        </row>
        <row r="55">
          <cell r="A55">
            <v>53</v>
          </cell>
          <cell r="C55">
            <v>1</v>
          </cell>
          <cell r="D55">
            <v>1</v>
          </cell>
          <cell r="E55">
            <v>131529.75</v>
          </cell>
          <cell r="F55">
            <v>141357.78999999998</v>
          </cell>
          <cell r="G55">
            <v>131095.91</v>
          </cell>
          <cell r="H55">
            <v>115233</v>
          </cell>
          <cell r="I55">
            <v>114799.16</v>
          </cell>
          <cell r="J55">
            <v>1965.5900000000001</v>
          </cell>
          <cell r="L55">
            <v>55329305</v>
          </cell>
          <cell r="M55">
            <v>10256313</v>
          </cell>
          <cell r="N55">
            <v>32967999</v>
          </cell>
          <cell r="O55">
            <v>10624451</v>
          </cell>
          <cell r="Q55">
            <v>58323241</v>
          </cell>
          <cell r="T55">
            <v>7185767</v>
          </cell>
          <cell r="V55">
            <v>0</v>
          </cell>
        </row>
        <row r="56">
          <cell r="A56">
            <v>54</v>
          </cell>
          <cell r="C56">
            <v>1</v>
          </cell>
          <cell r="D56">
            <v>1.0373000000000001</v>
          </cell>
          <cell r="E56">
            <v>10421.14</v>
          </cell>
          <cell r="F56">
            <v>10879.51</v>
          </cell>
          <cell r="G56">
            <v>10347.14</v>
          </cell>
          <cell r="H56">
            <v>9673.14</v>
          </cell>
          <cell r="I56">
            <v>9599.14</v>
          </cell>
          <cell r="J56">
            <v>248.72</v>
          </cell>
          <cell r="L56">
            <v>2883738</v>
          </cell>
          <cell r="M56">
            <v>1180148</v>
          </cell>
          <cell r="N56">
            <v>2978735</v>
          </cell>
          <cell r="O56">
            <v>1362649</v>
          </cell>
          <cell r="Q56">
            <v>6120955</v>
          </cell>
          <cell r="T56">
            <v>694809</v>
          </cell>
          <cell r="V56">
            <v>0</v>
          </cell>
        </row>
        <row r="57">
          <cell r="A57">
            <v>55</v>
          </cell>
          <cell r="C57">
            <v>1</v>
          </cell>
          <cell r="D57">
            <v>1</v>
          </cell>
          <cell r="E57">
            <v>57390.02</v>
          </cell>
          <cell r="F57">
            <v>61409.3</v>
          </cell>
          <cell r="G57">
            <v>57049.02</v>
          </cell>
          <cell r="H57">
            <v>51419.519999999997</v>
          </cell>
          <cell r="I57">
            <v>51078.52</v>
          </cell>
          <cell r="J57">
            <v>3372.62</v>
          </cell>
          <cell r="L57">
            <v>3881861</v>
          </cell>
          <cell r="M57">
            <v>4157587</v>
          </cell>
          <cell r="N57">
            <v>12937006</v>
          </cell>
          <cell r="O57">
            <v>18229761</v>
          </cell>
          <cell r="Q57">
            <v>45707538</v>
          </cell>
          <cell r="T57">
            <v>3261827</v>
          </cell>
          <cell r="V57">
            <v>0</v>
          </cell>
        </row>
        <row r="58">
          <cell r="A58">
            <v>56</v>
          </cell>
          <cell r="C58">
            <v>1</v>
          </cell>
          <cell r="D58">
            <v>1</v>
          </cell>
          <cell r="E58">
            <v>55899.509999999995</v>
          </cell>
          <cell r="F58">
            <v>58371.779999999992</v>
          </cell>
          <cell r="G58">
            <v>55628.959999999992</v>
          </cell>
          <cell r="H58">
            <v>48751.259999999995</v>
          </cell>
          <cell r="I58">
            <v>48480.709999999992</v>
          </cell>
          <cell r="J58">
            <v>1840.4900000000002</v>
          </cell>
          <cell r="L58">
            <v>11918335</v>
          </cell>
          <cell r="M58">
            <v>4356223</v>
          </cell>
          <cell r="N58">
            <v>16737641</v>
          </cell>
          <cell r="O58">
            <v>9948258</v>
          </cell>
          <cell r="Q58">
            <v>36383198</v>
          </cell>
          <cell r="T58">
            <v>3097753</v>
          </cell>
          <cell r="V58">
            <v>0</v>
          </cell>
        </row>
        <row r="59">
          <cell r="A59">
            <v>57</v>
          </cell>
          <cell r="C59">
            <v>1</v>
          </cell>
          <cell r="D59">
            <v>1</v>
          </cell>
          <cell r="E59">
            <v>31318.12</v>
          </cell>
          <cell r="F59">
            <v>34085.760000000002</v>
          </cell>
          <cell r="G59">
            <v>30653.55</v>
          </cell>
          <cell r="H59">
            <v>28385.62</v>
          </cell>
          <cell r="I59">
            <v>27721.05</v>
          </cell>
          <cell r="J59">
            <v>1267.67</v>
          </cell>
          <cell r="L59">
            <v>11617457</v>
          </cell>
          <cell r="M59">
            <v>2435932</v>
          </cell>
          <cell r="N59">
            <v>8510652</v>
          </cell>
          <cell r="O59">
            <v>6852038</v>
          </cell>
          <cell r="Q59">
            <v>15444056</v>
          </cell>
          <cell r="T59">
            <v>1845454</v>
          </cell>
          <cell r="V59">
            <v>522.58000000000004</v>
          </cell>
        </row>
        <row r="60">
          <cell r="A60">
            <v>58</v>
          </cell>
          <cell r="C60">
            <v>1.0127999999999999</v>
          </cell>
          <cell r="D60">
            <v>1</v>
          </cell>
          <cell r="E60">
            <v>49159.58</v>
          </cell>
          <cell r="F60">
            <v>53543.439999999995</v>
          </cell>
          <cell r="G60">
            <v>48980.3</v>
          </cell>
          <cell r="H60">
            <v>44428.08</v>
          </cell>
          <cell r="I60">
            <v>44248.800000000003</v>
          </cell>
          <cell r="J60">
            <v>2421.5</v>
          </cell>
          <cell r="L60">
            <v>0</v>
          </cell>
          <cell r="M60">
            <v>4675632</v>
          </cell>
          <cell r="N60">
            <v>9944470</v>
          </cell>
          <cell r="O60">
            <v>13088746</v>
          </cell>
          <cell r="Q60">
            <v>84215822</v>
          </cell>
          <cell r="T60">
            <v>2831917</v>
          </cell>
          <cell r="V60">
            <v>0</v>
          </cell>
        </row>
        <row r="61">
          <cell r="A61">
            <v>59</v>
          </cell>
          <cell r="C61">
            <v>1</v>
          </cell>
          <cell r="D61">
            <v>1</v>
          </cell>
          <cell r="E61">
            <v>71990.960000000006</v>
          </cell>
          <cell r="F61">
            <v>75628.819999999992</v>
          </cell>
          <cell r="G61">
            <v>71109.820000000007</v>
          </cell>
          <cell r="H61">
            <v>60599.460000000006</v>
          </cell>
          <cell r="I61">
            <v>59718.320000000007</v>
          </cell>
          <cell r="J61">
            <v>3236.6899999999996</v>
          </cell>
          <cell r="L61">
            <v>17794006</v>
          </cell>
          <cell r="M61">
            <v>5666097</v>
          </cell>
          <cell r="N61">
            <v>16750629</v>
          </cell>
          <cell r="O61">
            <v>17495029</v>
          </cell>
          <cell r="Q61">
            <v>44411792</v>
          </cell>
          <cell r="T61">
            <v>3826308</v>
          </cell>
          <cell r="V61">
            <v>0</v>
          </cell>
        </row>
        <row r="62">
          <cell r="A62">
            <v>60</v>
          </cell>
          <cell r="C62">
            <v>1</v>
          </cell>
          <cell r="D62">
            <v>1</v>
          </cell>
          <cell r="E62">
            <v>10718.519999999999</v>
          </cell>
          <cell r="F62">
            <v>11370.479999999998</v>
          </cell>
          <cell r="G62">
            <v>10654.169999999998</v>
          </cell>
          <cell r="H62">
            <v>10136.019999999999</v>
          </cell>
          <cell r="I62">
            <v>10071.669999999998</v>
          </cell>
          <cell r="J62">
            <v>532.4</v>
          </cell>
          <cell r="L62">
            <v>0</v>
          </cell>
          <cell r="M62">
            <v>1163147</v>
          </cell>
          <cell r="N62">
            <v>2162903</v>
          </cell>
          <cell r="O62">
            <v>2877740</v>
          </cell>
          <cell r="Q62">
            <v>18860815</v>
          </cell>
          <cell r="T62">
            <v>723272</v>
          </cell>
          <cell r="V62">
            <v>0</v>
          </cell>
        </row>
        <row r="63">
          <cell r="A63">
            <v>61</v>
          </cell>
          <cell r="C63">
            <v>1</v>
          </cell>
          <cell r="D63">
            <v>1.0373000000000001</v>
          </cell>
          <cell r="E63">
            <v>6728.8300000000008</v>
          </cell>
          <cell r="F63">
            <v>6977.4199999999992</v>
          </cell>
          <cell r="G63">
            <v>6597.56</v>
          </cell>
          <cell r="H63">
            <v>5848.8300000000008</v>
          </cell>
          <cell r="I63">
            <v>5717.56</v>
          </cell>
          <cell r="J63">
            <v>134.80000000000001</v>
          </cell>
          <cell r="L63">
            <v>3318995</v>
          </cell>
          <cell r="M63">
            <v>808024</v>
          </cell>
          <cell r="N63">
            <v>1370247</v>
          </cell>
          <cell r="O63">
            <v>738522</v>
          </cell>
          <cell r="Q63">
            <v>2495267</v>
          </cell>
          <cell r="T63">
            <v>459649</v>
          </cell>
          <cell r="V63">
            <v>0</v>
          </cell>
        </row>
        <row r="64">
          <cell r="A64">
            <v>62</v>
          </cell>
          <cell r="C64">
            <v>1</v>
          </cell>
          <cell r="D64">
            <v>1.0373000000000001</v>
          </cell>
          <cell r="E64">
            <v>2714.2999999999997</v>
          </cell>
          <cell r="F64">
            <v>3002.78</v>
          </cell>
          <cell r="G64">
            <v>2709.49</v>
          </cell>
          <cell r="H64">
            <v>2179.7999999999997</v>
          </cell>
          <cell r="I64">
            <v>2174.9899999999998</v>
          </cell>
          <cell r="J64">
            <v>28.89</v>
          </cell>
          <cell r="L64">
            <v>873950</v>
          </cell>
          <cell r="M64">
            <v>528139</v>
          </cell>
          <cell r="N64">
            <v>821084</v>
          </cell>
          <cell r="O64">
            <v>158278</v>
          </cell>
          <cell r="Q64">
            <v>1471415</v>
          </cell>
          <cell r="T64">
            <v>234038</v>
          </cell>
          <cell r="V64">
            <v>0</v>
          </cell>
        </row>
        <row r="65">
          <cell r="A65">
            <v>63</v>
          </cell>
          <cell r="C65">
            <v>1</v>
          </cell>
          <cell r="D65">
            <v>1.0373000000000001</v>
          </cell>
          <cell r="E65">
            <v>2249.9100000000003</v>
          </cell>
          <cell r="F65">
            <v>2359.4399999999996</v>
          </cell>
          <cell r="G65">
            <v>2249.9100000000003</v>
          </cell>
          <cell r="H65">
            <v>2100.1600000000003</v>
          </cell>
          <cell r="I65">
            <v>2100.1600000000003</v>
          </cell>
          <cell r="J65">
            <v>48.39</v>
          </cell>
          <cell r="L65">
            <v>1615345</v>
          </cell>
          <cell r="M65">
            <v>416159</v>
          </cell>
          <cell r="N65">
            <v>1006745</v>
          </cell>
          <cell r="O65">
            <v>265112</v>
          </cell>
          <cell r="Q65">
            <v>328746</v>
          </cell>
          <cell r="T65">
            <v>229140</v>
          </cell>
          <cell r="V65">
            <v>0</v>
          </cell>
        </row>
        <row r="66">
          <cell r="A66">
            <v>64</v>
          </cell>
          <cell r="C66">
            <v>1</v>
          </cell>
          <cell r="D66">
            <v>1</v>
          </cell>
          <cell r="E66">
            <v>68009.740000000005</v>
          </cell>
          <cell r="F66">
            <v>73137.17</v>
          </cell>
          <cell r="G66">
            <v>67384.200000000012</v>
          </cell>
          <cell r="H66">
            <v>58212.490000000005</v>
          </cell>
          <cell r="I66">
            <v>57586.950000000012</v>
          </cell>
          <cell r="J66">
            <v>1907.13</v>
          </cell>
          <cell r="L66">
            <v>6609187</v>
          </cell>
          <cell r="M66">
            <v>6209709</v>
          </cell>
          <cell r="N66">
            <v>17783364</v>
          </cell>
          <cell r="O66">
            <v>10308462</v>
          </cell>
          <cell r="Q66">
            <v>52156739</v>
          </cell>
          <cell r="T66">
            <v>3679532</v>
          </cell>
          <cell r="V66">
            <v>0</v>
          </cell>
        </row>
        <row r="67">
          <cell r="A67">
            <v>65</v>
          </cell>
          <cell r="C67">
            <v>1</v>
          </cell>
          <cell r="D67">
            <v>1.0373000000000001</v>
          </cell>
          <cell r="E67">
            <v>5364.57</v>
          </cell>
          <cell r="F67">
            <v>5688.83</v>
          </cell>
          <cell r="G67">
            <v>5364.1399999999994</v>
          </cell>
          <cell r="H67">
            <v>5002.82</v>
          </cell>
          <cell r="I67">
            <v>5002.3899999999994</v>
          </cell>
          <cell r="J67">
            <v>168.93</v>
          </cell>
          <cell r="L67">
            <v>2551282</v>
          </cell>
          <cell r="M67">
            <v>681207</v>
          </cell>
          <cell r="N67">
            <v>994404</v>
          </cell>
          <cell r="O67">
            <v>925508</v>
          </cell>
          <cell r="Q67">
            <v>2084128</v>
          </cell>
          <cell r="T67">
            <v>407627</v>
          </cell>
          <cell r="V67">
            <v>0</v>
          </cell>
        </row>
        <row r="68">
          <cell r="A68">
            <v>66</v>
          </cell>
          <cell r="C68">
            <v>1</v>
          </cell>
          <cell r="D68">
            <v>1</v>
          </cell>
          <cell r="E68">
            <v>13138.57</v>
          </cell>
          <cell r="F68">
            <v>13692.820000000002</v>
          </cell>
          <cell r="G68">
            <v>13138.57</v>
          </cell>
          <cell r="H68">
            <v>11839.82</v>
          </cell>
          <cell r="I68">
            <v>11839.82</v>
          </cell>
          <cell r="J68">
            <v>525.26</v>
          </cell>
          <cell r="L68">
            <v>0</v>
          </cell>
          <cell r="M68">
            <v>1230788</v>
          </cell>
          <cell r="N68">
            <v>2684210</v>
          </cell>
          <cell r="O68">
            <v>2839147</v>
          </cell>
          <cell r="Q68">
            <v>37690430</v>
          </cell>
          <cell r="T68">
            <v>828040</v>
          </cell>
          <cell r="V68">
            <v>0</v>
          </cell>
        </row>
        <row r="69">
          <cell r="A69">
            <v>67</v>
          </cell>
          <cell r="C69">
            <v>1</v>
          </cell>
          <cell r="D69">
            <v>1.0373000000000001</v>
          </cell>
          <cell r="E69">
            <v>3424.6499999999996</v>
          </cell>
          <cell r="F69">
            <v>3726.9199999999996</v>
          </cell>
          <cell r="G69">
            <v>3373.3499999999995</v>
          </cell>
          <cell r="H69">
            <v>3055.8999999999996</v>
          </cell>
          <cell r="I69">
            <v>3004.5999999999995</v>
          </cell>
          <cell r="J69">
            <v>107.03</v>
          </cell>
          <cell r="L69">
            <v>1713592</v>
          </cell>
          <cell r="M69">
            <v>506855</v>
          </cell>
          <cell r="N69">
            <v>1813817</v>
          </cell>
          <cell r="O69">
            <v>586380</v>
          </cell>
          <cell r="Q69">
            <v>1245581</v>
          </cell>
          <cell r="T69">
            <v>287910</v>
          </cell>
          <cell r="V69">
            <v>0</v>
          </cell>
        </row>
        <row r="70">
          <cell r="A70">
            <v>69</v>
          </cell>
          <cell r="C70">
            <v>1</v>
          </cell>
          <cell r="D70">
            <v>1</v>
          </cell>
          <cell r="E70">
            <v>508.89</v>
          </cell>
          <cell r="F70">
            <v>521.66000000000008</v>
          </cell>
          <cell r="G70">
            <v>508.89</v>
          </cell>
          <cell r="H70">
            <v>508.89</v>
          </cell>
          <cell r="I70">
            <v>508.89</v>
          </cell>
          <cell r="J70">
            <v>12.3</v>
          </cell>
          <cell r="L70">
            <v>134622</v>
          </cell>
          <cell r="M70">
            <v>284003</v>
          </cell>
          <cell r="N70">
            <v>785324</v>
          </cell>
          <cell r="O70">
            <v>66484</v>
          </cell>
          <cell r="T70">
            <v>131292</v>
          </cell>
        </row>
        <row r="71">
          <cell r="A71">
            <v>70</v>
          </cell>
          <cell r="C71">
            <v>1.0355000000000001</v>
          </cell>
          <cell r="D71">
            <v>1</v>
          </cell>
          <cell r="E71">
            <v>1321.9099999999999</v>
          </cell>
          <cell r="F71">
            <v>1330.77</v>
          </cell>
          <cell r="G71">
            <v>1321.9099999999999</v>
          </cell>
          <cell r="H71">
            <v>1321.9099999999999</v>
          </cell>
          <cell r="I71">
            <v>1321.9099999999999</v>
          </cell>
          <cell r="J71">
            <v>169.63</v>
          </cell>
          <cell r="L71">
            <v>0</v>
          </cell>
          <cell r="M71">
            <v>338328</v>
          </cell>
          <cell r="N71">
            <v>1448377</v>
          </cell>
          <cell r="O71">
            <v>936396</v>
          </cell>
          <cell r="Q71">
            <v>0</v>
          </cell>
          <cell r="T71">
            <v>181285</v>
          </cell>
          <cell r="V71">
            <v>0</v>
          </cell>
        </row>
        <row r="72">
          <cell r="A72">
            <v>72</v>
          </cell>
          <cell r="C72">
            <v>1.0248999999999999</v>
          </cell>
          <cell r="D72">
            <v>1</v>
          </cell>
          <cell r="E72">
            <v>713.21</v>
          </cell>
          <cell r="F72">
            <v>765.02</v>
          </cell>
          <cell r="G72">
            <v>713.21</v>
          </cell>
          <cell r="H72">
            <v>713.21</v>
          </cell>
          <cell r="I72">
            <v>713.21</v>
          </cell>
          <cell r="J72">
            <v>0</v>
          </cell>
          <cell r="L72">
            <v>0</v>
          </cell>
          <cell r="M72">
            <v>297655</v>
          </cell>
          <cell r="N72">
            <v>200819</v>
          </cell>
          <cell r="O72">
            <v>0</v>
          </cell>
          <cell r="Q72">
            <v>0</v>
          </cell>
          <cell r="T72">
            <v>143856</v>
          </cell>
          <cell r="V72">
            <v>0</v>
          </cell>
        </row>
        <row r="73">
          <cell r="A73">
            <v>73</v>
          </cell>
          <cell r="C73">
            <v>1</v>
          </cell>
          <cell r="D73">
            <v>1</v>
          </cell>
          <cell r="E73">
            <v>1846.14</v>
          </cell>
          <cell r="F73">
            <v>1883.5</v>
          </cell>
          <cell r="G73">
            <v>1846.14</v>
          </cell>
          <cell r="H73">
            <v>1846.14</v>
          </cell>
          <cell r="I73">
            <v>1846.14</v>
          </cell>
          <cell r="J73">
            <v>99.71</v>
          </cell>
          <cell r="L73">
            <v>488378</v>
          </cell>
          <cell r="M73">
            <v>373356</v>
          </cell>
          <cell r="N73">
            <v>1492955</v>
          </cell>
          <cell r="O73">
            <v>538955</v>
          </cell>
          <cell r="Q73">
            <v>0</v>
          </cell>
          <cell r="T73">
            <v>213521</v>
          </cell>
          <cell r="V73">
            <v>0</v>
          </cell>
        </row>
        <row r="74">
          <cell r="A74">
            <v>74</v>
          </cell>
          <cell r="C74">
            <v>1</v>
          </cell>
          <cell r="D74">
            <v>1</v>
          </cell>
          <cell r="E74">
            <v>1347.4600000000003</v>
          </cell>
          <cell r="F74">
            <v>1366.36</v>
          </cell>
          <cell r="G74">
            <v>1338.4900000000002</v>
          </cell>
          <cell r="H74">
            <v>1347.4600000000003</v>
          </cell>
          <cell r="I74">
            <v>1338.4900000000002</v>
          </cell>
          <cell r="J74">
            <v>84.42</v>
          </cell>
          <cell r="L74">
            <v>295080</v>
          </cell>
          <cell r="M74">
            <v>339435</v>
          </cell>
          <cell r="N74">
            <v>1481320</v>
          </cell>
          <cell r="O74">
            <v>456309</v>
          </cell>
          <cell r="Q74">
            <v>0</v>
          </cell>
          <cell r="T74">
            <v>182856</v>
          </cell>
          <cell r="V74">
            <v>0</v>
          </cell>
        </row>
        <row r="75">
          <cell r="A75">
            <v>75</v>
          </cell>
          <cell r="C75">
            <v>1</v>
          </cell>
          <cell r="D75">
            <v>1</v>
          </cell>
          <cell r="E75">
            <v>48831.270000000004</v>
          </cell>
          <cell r="F75">
            <v>48493.75</v>
          </cell>
          <cell r="G75">
            <v>0</v>
          </cell>
          <cell r="H75">
            <v>48831.270000000004</v>
          </cell>
          <cell r="I75">
            <v>0</v>
          </cell>
          <cell r="J75">
            <v>740.38</v>
          </cell>
          <cell r="L75">
            <v>703170</v>
          </cell>
          <cell r="M75">
            <v>0</v>
          </cell>
          <cell r="N75">
            <v>0</v>
          </cell>
          <cell r="O75">
            <v>4001919</v>
          </cell>
          <cell r="Q75">
            <v>0</v>
          </cell>
          <cell r="T75">
            <v>3102673</v>
          </cell>
          <cell r="V75">
            <v>0</v>
          </cell>
        </row>
        <row r="76">
          <cell r="A76">
            <v>76</v>
          </cell>
          <cell r="C76">
            <v>1</v>
          </cell>
          <cell r="D76">
            <v>1</v>
          </cell>
          <cell r="E76">
            <v>269.37</v>
          </cell>
          <cell r="F76">
            <v>266.19</v>
          </cell>
          <cell r="G76">
            <v>265.3</v>
          </cell>
          <cell r="H76">
            <v>269.37</v>
          </cell>
          <cell r="I76">
            <v>265.3</v>
          </cell>
          <cell r="J76">
            <v>3.52</v>
          </cell>
          <cell r="L76">
            <v>0</v>
          </cell>
          <cell r="M76">
            <v>267727</v>
          </cell>
          <cell r="N76">
            <v>73207</v>
          </cell>
          <cell r="O76">
            <v>19026</v>
          </cell>
          <cell r="T76">
            <v>116564</v>
          </cell>
        </row>
        <row r="77">
          <cell r="A77">
            <v>77</v>
          </cell>
          <cell r="C77">
            <v>1</v>
          </cell>
          <cell r="D77">
            <v>1</v>
          </cell>
          <cell r="E77">
            <v>362.12</v>
          </cell>
          <cell r="F77">
            <v>355.49</v>
          </cell>
          <cell r="G77">
            <v>354.84000000000003</v>
          </cell>
          <cell r="H77">
            <v>362.12</v>
          </cell>
          <cell r="I77">
            <v>354.84000000000003</v>
          </cell>
          <cell r="J77">
            <v>1.44</v>
          </cell>
          <cell r="L77">
            <v>5215</v>
          </cell>
          <cell r="M77">
            <v>273710</v>
          </cell>
          <cell r="N77">
            <v>94835</v>
          </cell>
          <cell r="O77">
            <v>7783</v>
          </cell>
          <cell r="Q77">
            <v>0</v>
          </cell>
          <cell r="T77">
            <v>122267</v>
          </cell>
          <cell r="V77">
            <v>0</v>
          </cell>
        </row>
        <row r="78">
          <cell r="E78">
            <v>3234902.4899999998</v>
          </cell>
          <cell r="F78">
            <v>3457442.8399999989</v>
          </cell>
          <cell r="G78">
            <v>3151995.2500000009</v>
          </cell>
          <cell r="H78">
            <v>2805298.4899999998</v>
          </cell>
          <cell r="I78">
            <v>2722391.2500000014</v>
          </cell>
          <cell r="J78">
            <v>109743.62999999999</v>
          </cell>
          <cell r="L78">
            <v>456433608</v>
          </cell>
          <cell r="M78">
            <v>290000000</v>
          </cell>
          <cell r="N78">
            <v>842296921</v>
          </cell>
          <cell r="Q78">
            <v>2748622155</v>
          </cell>
          <cell r="T78">
            <v>180000000</v>
          </cell>
        </row>
      </sheetData>
      <sheetData sheetId="2" refreshError="1">
        <row r="1">
          <cell r="A1" t="str">
            <v>ESE Funding Based on the 2001-02 Matrix Levels</v>
          </cell>
        </row>
        <row r="2">
          <cell r="D2" t="str">
            <v>Program 111- Grades K-3</v>
          </cell>
          <cell r="G2" t="str">
            <v>Program 112- Grades 4-8</v>
          </cell>
          <cell r="J2" t="str">
            <v>Program 113- Grades 9-12</v>
          </cell>
        </row>
        <row r="3">
          <cell r="D3" t="str">
            <v xml:space="preserve">ESE LEVEL 1
</v>
          </cell>
          <cell r="E3" t="str">
            <v xml:space="preserve">ESE LEVEL 2
</v>
          </cell>
          <cell r="F3" t="str">
            <v>ESE LEVEL 3</v>
          </cell>
          <cell r="G3" t="str">
            <v>ESE LEVEL 1</v>
          </cell>
          <cell r="H3" t="str">
            <v>ESE LEVEL 2</v>
          </cell>
          <cell r="I3" t="str">
            <v>ESE LEVEL 3</v>
          </cell>
          <cell r="J3" t="str">
            <v>ESE LEVEL 1</v>
          </cell>
          <cell r="K3" t="str">
            <v>ESE LEVEL 2</v>
          </cell>
          <cell r="L3" t="str">
            <v>ESE LEVEL 3</v>
          </cell>
        </row>
        <row r="6">
          <cell r="A6">
            <v>1</v>
          </cell>
          <cell r="D6">
            <v>975</v>
          </cell>
          <cell r="E6">
            <v>3147</v>
          </cell>
          <cell r="F6">
            <v>6422</v>
          </cell>
          <cell r="G6">
            <v>1093</v>
          </cell>
          <cell r="H6">
            <v>3265</v>
          </cell>
          <cell r="I6">
            <v>6540</v>
          </cell>
          <cell r="J6">
            <v>778</v>
          </cell>
          <cell r="K6">
            <v>2950</v>
          </cell>
          <cell r="L6">
            <v>6225</v>
          </cell>
        </row>
        <row r="7">
          <cell r="A7">
            <v>2</v>
          </cell>
          <cell r="D7">
            <v>947</v>
          </cell>
          <cell r="E7">
            <v>3058</v>
          </cell>
          <cell r="F7">
            <v>6241</v>
          </cell>
          <cell r="G7">
            <v>1062</v>
          </cell>
          <cell r="H7">
            <v>3173</v>
          </cell>
          <cell r="I7">
            <v>6356</v>
          </cell>
          <cell r="J7">
            <v>756</v>
          </cell>
          <cell r="K7">
            <v>2867</v>
          </cell>
          <cell r="L7">
            <v>6050</v>
          </cell>
        </row>
        <row r="8">
          <cell r="A8">
            <v>3</v>
          </cell>
          <cell r="D8">
            <v>973</v>
          </cell>
          <cell r="E8">
            <v>3143</v>
          </cell>
          <cell r="F8">
            <v>6414</v>
          </cell>
          <cell r="G8">
            <v>1091</v>
          </cell>
          <cell r="H8">
            <v>3261</v>
          </cell>
          <cell r="I8">
            <v>6532</v>
          </cell>
          <cell r="J8">
            <v>777</v>
          </cell>
          <cell r="K8">
            <v>2946</v>
          </cell>
          <cell r="L8">
            <v>6217</v>
          </cell>
        </row>
        <row r="9">
          <cell r="A9">
            <v>4</v>
          </cell>
          <cell r="D9">
            <v>943</v>
          </cell>
          <cell r="E9">
            <v>3046</v>
          </cell>
          <cell r="F9">
            <v>6215</v>
          </cell>
          <cell r="G9">
            <v>1058</v>
          </cell>
          <cell r="H9">
            <v>3160</v>
          </cell>
          <cell r="I9">
            <v>6329</v>
          </cell>
          <cell r="J9">
            <v>753</v>
          </cell>
          <cell r="K9">
            <v>2855</v>
          </cell>
          <cell r="L9">
            <v>6025</v>
          </cell>
        </row>
        <row r="10">
          <cell r="A10">
            <v>5</v>
          </cell>
          <cell r="D10">
            <v>996</v>
          </cell>
          <cell r="E10">
            <v>3217</v>
          </cell>
          <cell r="F10">
            <v>6565</v>
          </cell>
          <cell r="G10">
            <v>1117</v>
          </cell>
          <cell r="H10">
            <v>3338</v>
          </cell>
          <cell r="I10">
            <v>6686</v>
          </cell>
          <cell r="J10">
            <v>795</v>
          </cell>
          <cell r="K10">
            <v>3016</v>
          </cell>
          <cell r="L10">
            <v>6364</v>
          </cell>
        </row>
        <row r="11">
          <cell r="A11">
            <v>6</v>
          </cell>
          <cell r="D11">
            <v>1058</v>
          </cell>
          <cell r="E11">
            <v>3418</v>
          </cell>
          <cell r="F11">
            <v>6974</v>
          </cell>
          <cell r="G11">
            <v>1187</v>
          </cell>
          <cell r="H11">
            <v>3546</v>
          </cell>
          <cell r="I11">
            <v>7102</v>
          </cell>
          <cell r="J11">
            <v>845</v>
          </cell>
          <cell r="K11">
            <v>3204</v>
          </cell>
          <cell r="L11">
            <v>6760</v>
          </cell>
        </row>
        <row r="12">
          <cell r="A12">
            <v>7</v>
          </cell>
          <cell r="D12">
            <v>927</v>
          </cell>
          <cell r="E12">
            <v>2992</v>
          </cell>
          <cell r="F12">
            <v>6105</v>
          </cell>
          <cell r="G12">
            <v>1039</v>
          </cell>
          <cell r="H12">
            <v>3104</v>
          </cell>
          <cell r="I12">
            <v>6218</v>
          </cell>
          <cell r="J12">
            <v>739</v>
          </cell>
          <cell r="K12">
            <v>2805</v>
          </cell>
          <cell r="L12">
            <v>5918</v>
          </cell>
        </row>
        <row r="13">
          <cell r="A13">
            <v>8</v>
          </cell>
          <cell r="D13">
            <v>984</v>
          </cell>
          <cell r="E13">
            <v>3177</v>
          </cell>
          <cell r="F13">
            <v>6483</v>
          </cell>
          <cell r="G13">
            <v>1103</v>
          </cell>
          <cell r="H13">
            <v>3296</v>
          </cell>
          <cell r="I13">
            <v>6602</v>
          </cell>
          <cell r="J13">
            <v>785</v>
          </cell>
          <cell r="K13">
            <v>2978</v>
          </cell>
          <cell r="L13">
            <v>6284</v>
          </cell>
        </row>
        <row r="14">
          <cell r="A14">
            <v>9</v>
          </cell>
          <cell r="D14">
            <v>948</v>
          </cell>
          <cell r="E14">
            <v>3062</v>
          </cell>
          <cell r="F14">
            <v>6249</v>
          </cell>
          <cell r="G14">
            <v>1063</v>
          </cell>
          <cell r="H14">
            <v>3177</v>
          </cell>
          <cell r="I14">
            <v>6364</v>
          </cell>
          <cell r="J14">
            <v>757</v>
          </cell>
          <cell r="K14">
            <v>2870</v>
          </cell>
          <cell r="L14">
            <v>6057</v>
          </cell>
        </row>
        <row r="15">
          <cell r="A15">
            <v>10</v>
          </cell>
          <cell r="D15">
            <v>982</v>
          </cell>
          <cell r="E15">
            <v>3170</v>
          </cell>
          <cell r="F15">
            <v>6470</v>
          </cell>
          <cell r="G15">
            <v>1101</v>
          </cell>
          <cell r="H15">
            <v>3290</v>
          </cell>
          <cell r="I15">
            <v>6589</v>
          </cell>
          <cell r="J15">
            <v>784</v>
          </cell>
          <cell r="K15">
            <v>2972</v>
          </cell>
          <cell r="L15">
            <v>6272</v>
          </cell>
        </row>
        <row r="16">
          <cell r="A16">
            <v>11</v>
          </cell>
          <cell r="D16">
            <v>1024</v>
          </cell>
          <cell r="E16">
            <v>3306</v>
          </cell>
          <cell r="F16">
            <v>6746</v>
          </cell>
          <cell r="G16">
            <v>1148</v>
          </cell>
          <cell r="H16">
            <v>3430</v>
          </cell>
          <cell r="I16">
            <v>6870</v>
          </cell>
          <cell r="J16">
            <v>817</v>
          </cell>
          <cell r="K16">
            <v>3099</v>
          </cell>
          <cell r="L16">
            <v>6539</v>
          </cell>
        </row>
        <row r="17">
          <cell r="A17">
            <v>12</v>
          </cell>
          <cell r="D17">
            <v>947</v>
          </cell>
          <cell r="E17">
            <v>3059</v>
          </cell>
          <cell r="F17">
            <v>6243</v>
          </cell>
          <cell r="G17">
            <v>1062</v>
          </cell>
          <cell r="H17">
            <v>3174</v>
          </cell>
          <cell r="I17">
            <v>6357</v>
          </cell>
          <cell r="J17">
            <v>756</v>
          </cell>
          <cell r="K17">
            <v>2868</v>
          </cell>
          <cell r="L17">
            <v>6051</v>
          </cell>
        </row>
        <row r="18">
          <cell r="A18">
            <v>13</v>
          </cell>
          <cell r="D18">
            <v>1070</v>
          </cell>
          <cell r="E18">
            <v>3455</v>
          </cell>
          <cell r="F18">
            <v>7050</v>
          </cell>
          <cell r="G18">
            <v>1200</v>
          </cell>
          <cell r="H18">
            <v>3584</v>
          </cell>
          <cell r="I18">
            <v>7179</v>
          </cell>
          <cell r="J18">
            <v>854</v>
          </cell>
          <cell r="K18">
            <v>3238</v>
          </cell>
          <cell r="L18">
            <v>6833</v>
          </cell>
        </row>
        <row r="19">
          <cell r="A19">
            <v>14</v>
          </cell>
          <cell r="D19">
            <v>951</v>
          </cell>
          <cell r="E19">
            <v>3070</v>
          </cell>
          <cell r="F19">
            <v>6265</v>
          </cell>
          <cell r="G19">
            <v>1066</v>
          </cell>
          <cell r="H19">
            <v>3185</v>
          </cell>
          <cell r="I19">
            <v>6380</v>
          </cell>
          <cell r="J19">
            <v>759</v>
          </cell>
          <cell r="K19">
            <v>2878</v>
          </cell>
          <cell r="L19">
            <v>6073</v>
          </cell>
        </row>
        <row r="20">
          <cell r="A20">
            <v>15</v>
          </cell>
          <cell r="D20">
            <v>949</v>
          </cell>
          <cell r="E20">
            <v>3065</v>
          </cell>
          <cell r="F20">
            <v>6255</v>
          </cell>
          <cell r="G20">
            <v>1064</v>
          </cell>
          <cell r="H20">
            <v>3180</v>
          </cell>
          <cell r="I20">
            <v>6370</v>
          </cell>
          <cell r="J20">
            <v>758</v>
          </cell>
          <cell r="K20">
            <v>2874</v>
          </cell>
          <cell r="L20">
            <v>6063</v>
          </cell>
        </row>
        <row r="21">
          <cell r="A21">
            <v>16</v>
          </cell>
          <cell r="D21">
            <v>994</v>
          </cell>
          <cell r="E21">
            <v>3209</v>
          </cell>
          <cell r="F21">
            <v>6549</v>
          </cell>
          <cell r="G21">
            <v>1114</v>
          </cell>
          <cell r="H21">
            <v>3330</v>
          </cell>
          <cell r="I21">
            <v>6669</v>
          </cell>
          <cell r="J21">
            <v>793</v>
          </cell>
          <cell r="K21">
            <v>3008</v>
          </cell>
          <cell r="L21">
            <v>6348</v>
          </cell>
        </row>
        <row r="22">
          <cell r="A22">
            <v>17</v>
          </cell>
          <cell r="D22">
            <v>966</v>
          </cell>
          <cell r="E22">
            <v>3118</v>
          </cell>
          <cell r="F22">
            <v>6363</v>
          </cell>
          <cell r="G22">
            <v>1083</v>
          </cell>
          <cell r="H22">
            <v>3235</v>
          </cell>
          <cell r="I22">
            <v>6480</v>
          </cell>
          <cell r="J22">
            <v>771</v>
          </cell>
          <cell r="K22">
            <v>2923</v>
          </cell>
          <cell r="L22">
            <v>6168</v>
          </cell>
        </row>
        <row r="23">
          <cell r="A23">
            <v>18</v>
          </cell>
          <cell r="D23">
            <v>975</v>
          </cell>
          <cell r="E23">
            <v>3148</v>
          </cell>
          <cell r="F23">
            <v>6424</v>
          </cell>
          <cell r="G23">
            <v>1093</v>
          </cell>
          <cell r="H23">
            <v>3266</v>
          </cell>
          <cell r="I23">
            <v>6542</v>
          </cell>
          <cell r="J23">
            <v>778</v>
          </cell>
          <cell r="K23">
            <v>2951</v>
          </cell>
          <cell r="L23">
            <v>6227</v>
          </cell>
        </row>
        <row r="24">
          <cell r="A24">
            <v>19</v>
          </cell>
          <cell r="D24">
            <v>975</v>
          </cell>
          <cell r="E24">
            <v>3149</v>
          </cell>
          <cell r="F24">
            <v>6426</v>
          </cell>
          <cell r="G24">
            <v>1094</v>
          </cell>
          <cell r="H24">
            <v>3267</v>
          </cell>
          <cell r="I24">
            <v>6545</v>
          </cell>
          <cell r="J24">
            <v>778</v>
          </cell>
          <cell r="K24">
            <v>2952</v>
          </cell>
          <cell r="L24">
            <v>6229</v>
          </cell>
        </row>
        <row r="25">
          <cell r="A25">
            <v>20</v>
          </cell>
          <cell r="D25">
            <v>954</v>
          </cell>
          <cell r="E25">
            <v>3080</v>
          </cell>
          <cell r="F25">
            <v>6286</v>
          </cell>
          <cell r="G25">
            <v>1070</v>
          </cell>
          <cell r="H25">
            <v>3196</v>
          </cell>
          <cell r="I25">
            <v>6402</v>
          </cell>
          <cell r="J25">
            <v>761</v>
          </cell>
          <cell r="K25">
            <v>2888</v>
          </cell>
          <cell r="L25">
            <v>6093</v>
          </cell>
        </row>
        <row r="26">
          <cell r="A26">
            <v>21</v>
          </cell>
          <cell r="D26">
            <v>950</v>
          </cell>
          <cell r="E26">
            <v>3068</v>
          </cell>
          <cell r="F26">
            <v>6261</v>
          </cell>
          <cell r="G26">
            <v>1065</v>
          </cell>
          <cell r="H26">
            <v>3183</v>
          </cell>
          <cell r="I26">
            <v>6376</v>
          </cell>
          <cell r="J26">
            <v>758</v>
          </cell>
          <cell r="K26">
            <v>2876</v>
          </cell>
          <cell r="L26">
            <v>6069</v>
          </cell>
        </row>
        <row r="27">
          <cell r="A27">
            <v>22</v>
          </cell>
          <cell r="D27">
            <v>975</v>
          </cell>
          <cell r="E27">
            <v>3149</v>
          </cell>
          <cell r="F27">
            <v>6426</v>
          </cell>
          <cell r="G27">
            <v>1094</v>
          </cell>
          <cell r="H27">
            <v>3267</v>
          </cell>
          <cell r="I27">
            <v>6545</v>
          </cell>
          <cell r="J27">
            <v>778</v>
          </cell>
          <cell r="K27">
            <v>2952</v>
          </cell>
          <cell r="L27">
            <v>6229</v>
          </cell>
        </row>
        <row r="28">
          <cell r="A28">
            <v>23</v>
          </cell>
          <cell r="D28">
            <v>952</v>
          </cell>
          <cell r="E28">
            <v>3075</v>
          </cell>
          <cell r="F28">
            <v>6275</v>
          </cell>
          <cell r="G28">
            <v>1068</v>
          </cell>
          <cell r="H28">
            <v>3190</v>
          </cell>
          <cell r="I28">
            <v>6390</v>
          </cell>
          <cell r="J28">
            <v>760</v>
          </cell>
          <cell r="K28">
            <v>2882</v>
          </cell>
          <cell r="L28">
            <v>6082</v>
          </cell>
        </row>
        <row r="29">
          <cell r="A29">
            <v>24</v>
          </cell>
          <cell r="D29">
            <v>947</v>
          </cell>
          <cell r="E29">
            <v>3059</v>
          </cell>
          <cell r="F29">
            <v>6243</v>
          </cell>
          <cell r="G29">
            <v>1062</v>
          </cell>
          <cell r="H29">
            <v>3174</v>
          </cell>
          <cell r="I29">
            <v>6357</v>
          </cell>
          <cell r="J29">
            <v>756</v>
          </cell>
          <cell r="K29">
            <v>2868</v>
          </cell>
          <cell r="L29">
            <v>6051</v>
          </cell>
        </row>
        <row r="30">
          <cell r="A30">
            <v>25</v>
          </cell>
          <cell r="D30">
            <v>946</v>
          </cell>
          <cell r="E30">
            <v>3054</v>
          </cell>
          <cell r="F30">
            <v>6233</v>
          </cell>
          <cell r="G30">
            <v>1061</v>
          </cell>
          <cell r="H30">
            <v>3169</v>
          </cell>
          <cell r="I30">
            <v>6348</v>
          </cell>
          <cell r="J30">
            <v>755</v>
          </cell>
          <cell r="K30">
            <v>2863</v>
          </cell>
          <cell r="L30">
            <v>6042</v>
          </cell>
        </row>
        <row r="31">
          <cell r="A31">
            <v>26</v>
          </cell>
          <cell r="D31">
            <v>968</v>
          </cell>
          <cell r="E31">
            <v>3125</v>
          </cell>
          <cell r="F31">
            <v>6376</v>
          </cell>
          <cell r="G31">
            <v>1085</v>
          </cell>
          <cell r="H31">
            <v>3242</v>
          </cell>
          <cell r="I31">
            <v>6494</v>
          </cell>
          <cell r="J31">
            <v>772</v>
          </cell>
          <cell r="K31">
            <v>2929</v>
          </cell>
          <cell r="L31">
            <v>6181</v>
          </cell>
        </row>
        <row r="32">
          <cell r="A32">
            <v>27</v>
          </cell>
          <cell r="D32">
            <v>961</v>
          </cell>
          <cell r="E32">
            <v>3102</v>
          </cell>
          <cell r="F32">
            <v>6330</v>
          </cell>
          <cell r="G32">
            <v>1077</v>
          </cell>
          <cell r="H32">
            <v>3218</v>
          </cell>
          <cell r="I32">
            <v>6447</v>
          </cell>
          <cell r="J32">
            <v>767</v>
          </cell>
          <cell r="K32">
            <v>2908</v>
          </cell>
          <cell r="L32">
            <v>6136</v>
          </cell>
        </row>
        <row r="33">
          <cell r="A33">
            <v>28</v>
          </cell>
          <cell r="D33">
            <v>964</v>
          </cell>
          <cell r="E33">
            <v>3114</v>
          </cell>
          <cell r="F33">
            <v>6355</v>
          </cell>
          <cell r="G33">
            <v>1081</v>
          </cell>
          <cell r="H33">
            <v>3231</v>
          </cell>
          <cell r="I33">
            <v>6472</v>
          </cell>
          <cell r="J33">
            <v>770</v>
          </cell>
          <cell r="K33">
            <v>2919</v>
          </cell>
          <cell r="L33">
            <v>6160</v>
          </cell>
        </row>
        <row r="34">
          <cell r="A34">
            <v>29</v>
          </cell>
          <cell r="D34">
            <v>1016</v>
          </cell>
          <cell r="E34">
            <v>3282</v>
          </cell>
          <cell r="F34">
            <v>6697</v>
          </cell>
          <cell r="G34">
            <v>1139</v>
          </cell>
          <cell r="H34">
            <v>3405</v>
          </cell>
          <cell r="I34">
            <v>6820</v>
          </cell>
          <cell r="J34">
            <v>811</v>
          </cell>
          <cell r="K34">
            <v>3076</v>
          </cell>
          <cell r="L34">
            <v>6491</v>
          </cell>
        </row>
        <row r="35">
          <cell r="A35">
            <v>30</v>
          </cell>
          <cell r="D35">
            <v>946</v>
          </cell>
          <cell r="E35">
            <v>3056</v>
          </cell>
          <cell r="F35">
            <v>6237</v>
          </cell>
          <cell r="G35">
            <v>1061</v>
          </cell>
          <cell r="H35">
            <v>3171</v>
          </cell>
          <cell r="I35">
            <v>6351</v>
          </cell>
          <cell r="J35">
            <v>755</v>
          </cell>
          <cell r="K35">
            <v>2865</v>
          </cell>
          <cell r="L35">
            <v>6045</v>
          </cell>
        </row>
        <row r="36">
          <cell r="A36">
            <v>31</v>
          </cell>
          <cell r="D36">
            <v>999</v>
          </cell>
          <cell r="E36">
            <v>3227</v>
          </cell>
          <cell r="F36">
            <v>6586</v>
          </cell>
          <cell r="G36">
            <v>1121</v>
          </cell>
          <cell r="H36">
            <v>3348</v>
          </cell>
          <cell r="I36">
            <v>6707</v>
          </cell>
          <cell r="J36">
            <v>798</v>
          </cell>
          <cell r="K36">
            <v>3025</v>
          </cell>
          <cell r="L36">
            <v>6384</v>
          </cell>
        </row>
        <row r="37">
          <cell r="A37">
            <v>32</v>
          </cell>
          <cell r="D37">
            <v>934</v>
          </cell>
          <cell r="E37">
            <v>3015</v>
          </cell>
          <cell r="F37">
            <v>6154</v>
          </cell>
          <cell r="G37">
            <v>1047</v>
          </cell>
          <cell r="H37">
            <v>3129</v>
          </cell>
          <cell r="I37">
            <v>6267</v>
          </cell>
          <cell r="J37">
            <v>745</v>
          </cell>
          <cell r="K37">
            <v>2827</v>
          </cell>
          <cell r="L37">
            <v>5965</v>
          </cell>
        </row>
        <row r="38">
          <cell r="A38">
            <v>33</v>
          </cell>
          <cell r="D38">
            <v>969</v>
          </cell>
          <cell r="E38">
            <v>3129</v>
          </cell>
          <cell r="F38">
            <v>6385</v>
          </cell>
          <cell r="G38">
            <v>1086</v>
          </cell>
          <cell r="H38">
            <v>3246</v>
          </cell>
          <cell r="I38">
            <v>6502</v>
          </cell>
          <cell r="J38">
            <v>773</v>
          </cell>
          <cell r="K38">
            <v>2933</v>
          </cell>
          <cell r="L38">
            <v>6189</v>
          </cell>
        </row>
        <row r="39">
          <cell r="A39">
            <v>34</v>
          </cell>
          <cell r="D39">
            <v>952</v>
          </cell>
          <cell r="E39">
            <v>3074</v>
          </cell>
          <cell r="F39">
            <v>6273</v>
          </cell>
          <cell r="G39">
            <v>1067</v>
          </cell>
          <cell r="H39">
            <v>3190</v>
          </cell>
          <cell r="I39">
            <v>6389</v>
          </cell>
          <cell r="J39">
            <v>760</v>
          </cell>
          <cell r="K39">
            <v>2882</v>
          </cell>
          <cell r="L39">
            <v>6081</v>
          </cell>
        </row>
        <row r="40">
          <cell r="A40">
            <v>35</v>
          </cell>
          <cell r="D40">
            <v>974</v>
          </cell>
          <cell r="E40">
            <v>3144</v>
          </cell>
          <cell r="F40">
            <v>6416</v>
          </cell>
          <cell r="G40">
            <v>1092</v>
          </cell>
          <cell r="H40">
            <v>3262</v>
          </cell>
          <cell r="I40">
            <v>6534</v>
          </cell>
          <cell r="J40">
            <v>777</v>
          </cell>
          <cell r="K40">
            <v>2947</v>
          </cell>
          <cell r="L40">
            <v>6219</v>
          </cell>
        </row>
        <row r="41">
          <cell r="A41">
            <v>36</v>
          </cell>
          <cell r="D41">
            <v>992</v>
          </cell>
          <cell r="E41">
            <v>3203</v>
          </cell>
          <cell r="F41">
            <v>6535</v>
          </cell>
          <cell r="G41">
            <v>1112</v>
          </cell>
          <cell r="H41">
            <v>3323</v>
          </cell>
          <cell r="I41">
            <v>6656</v>
          </cell>
          <cell r="J41">
            <v>791</v>
          </cell>
          <cell r="K41">
            <v>3002</v>
          </cell>
          <cell r="L41">
            <v>6335</v>
          </cell>
        </row>
        <row r="42">
          <cell r="A42">
            <v>37</v>
          </cell>
          <cell r="D42">
            <v>986</v>
          </cell>
          <cell r="E42">
            <v>3184</v>
          </cell>
          <cell r="F42">
            <v>6498</v>
          </cell>
          <cell r="G42">
            <v>1106</v>
          </cell>
          <cell r="H42">
            <v>3304</v>
          </cell>
          <cell r="I42">
            <v>6618</v>
          </cell>
          <cell r="J42">
            <v>787</v>
          </cell>
          <cell r="K42">
            <v>2985</v>
          </cell>
          <cell r="L42">
            <v>6299</v>
          </cell>
        </row>
        <row r="43">
          <cell r="A43">
            <v>38</v>
          </cell>
          <cell r="D43">
            <v>946</v>
          </cell>
          <cell r="E43">
            <v>3054</v>
          </cell>
          <cell r="F43">
            <v>6231</v>
          </cell>
          <cell r="G43">
            <v>1060</v>
          </cell>
          <cell r="H43">
            <v>3168</v>
          </cell>
          <cell r="I43">
            <v>6346</v>
          </cell>
          <cell r="J43">
            <v>755</v>
          </cell>
          <cell r="K43">
            <v>2862</v>
          </cell>
          <cell r="L43">
            <v>6040</v>
          </cell>
        </row>
        <row r="44">
          <cell r="A44">
            <v>39</v>
          </cell>
          <cell r="D44">
            <v>942</v>
          </cell>
          <cell r="E44">
            <v>3042</v>
          </cell>
          <cell r="F44">
            <v>6208</v>
          </cell>
          <cell r="G44">
            <v>1056</v>
          </cell>
          <cell r="H44">
            <v>3156</v>
          </cell>
          <cell r="I44">
            <v>6322</v>
          </cell>
          <cell r="J44">
            <v>752</v>
          </cell>
          <cell r="K44">
            <v>2852</v>
          </cell>
          <cell r="L44">
            <v>6017</v>
          </cell>
        </row>
        <row r="45">
          <cell r="A45">
            <v>40</v>
          </cell>
          <cell r="D45">
            <v>950</v>
          </cell>
          <cell r="E45">
            <v>3068</v>
          </cell>
          <cell r="F45">
            <v>6261</v>
          </cell>
          <cell r="G45">
            <v>1065</v>
          </cell>
          <cell r="H45">
            <v>3183</v>
          </cell>
          <cell r="I45">
            <v>6376</v>
          </cell>
          <cell r="J45">
            <v>758</v>
          </cell>
          <cell r="K45">
            <v>2876</v>
          </cell>
          <cell r="L45">
            <v>6069</v>
          </cell>
        </row>
        <row r="46">
          <cell r="A46">
            <v>41</v>
          </cell>
          <cell r="D46">
            <v>1011</v>
          </cell>
          <cell r="E46">
            <v>3266</v>
          </cell>
          <cell r="F46">
            <v>6664</v>
          </cell>
          <cell r="G46">
            <v>1134</v>
          </cell>
          <cell r="H46">
            <v>3388</v>
          </cell>
          <cell r="I46">
            <v>6787</v>
          </cell>
          <cell r="J46">
            <v>807</v>
          </cell>
          <cell r="K46">
            <v>3062</v>
          </cell>
          <cell r="L46">
            <v>6460</v>
          </cell>
        </row>
        <row r="47">
          <cell r="A47">
            <v>42</v>
          </cell>
          <cell r="D47">
            <v>962</v>
          </cell>
          <cell r="E47">
            <v>3107</v>
          </cell>
          <cell r="F47">
            <v>6341</v>
          </cell>
          <cell r="G47">
            <v>1079</v>
          </cell>
          <cell r="H47">
            <v>3224</v>
          </cell>
          <cell r="I47">
            <v>6457</v>
          </cell>
          <cell r="J47">
            <v>768</v>
          </cell>
          <cell r="K47">
            <v>2913</v>
          </cell>
          <cell r="L47">
            <v>6146</v>
          </cell>
        </row>
        <row r="48">
          <cell r="A48">
            <v>43</v>
          </cell>
          <cell r="D48">
            <v>1008</v>
          </cell>
          <cell r="E48">
            <v>3255</v>
          </cell>
          <cell r="F48">
            <v>6643</v>
          </cell>
          <cell r="G48">
            <v>1130</v>
          </cell>
          <cell r="H48">
            <v>3378</v>
          </cell>
          <cell r="I48">
            <v>6765</v>
          </cell>
          <cell r="J48">
            <v>805</v>
          </cell>
          <cell r="K48">
            <v>3052</v>
          </cell>
          <cell r="L48">
            <v>6439</v>
          </cell>
        </row>
        <row r="49">
          <cell r="A49">
            <v>44</v>
          </cell>
          <cell r="D49">
            <v>1098</v>
          </cell>
          <cell r="E49">
            <v>3545</v>
          </cell>
          <cell r="F49">
            <v>7233</v>
          </cell>
          <cell r="G49">
            <v>1231</v>
          </cell>
          <cell r="H49">
            <v>3678</v>
          </cell>
          <cell r="I49">
            <v>7367</v>
          </cell>
          <cell r="J49">
            <v>876</v>
          </cell>
          <cell r="K49">
            <v>3323</v>
          </cell>
          <cell r="L49">
            <v>7012</v>
          </cell>
        </row>
        <row r="50">
          <cell r="A50">
            <v>45</v>
          </cell>
          <cell r="D50">
            <v>964</v>
          </cell>
          <cell r="E50">
            <v>3112</v>
          </cell>
          <cell r="F50">
            <v>6351</v>
          </cell>
          <cell r="G50">
            <v>1081</v>
          </cell>
          <cell r="H50">
            <v>3229</v>
          </cell>
          <cell r="I50">
            <v>6468</v>
          </cell>
          <cell r="J50">
            <v>769</v>
          </cell>
          <cell r="K50">
            <v>2917</v>
          </cell>
          <cell r="L50">
            <v>6156</v>
          </cell>
        </row>
        <row r="51">
          <cell r="A51">
            <v>46</v>
          </cell>
          <cell r="D51">
            <v>977</v>
          </cell>
          <cell r="E51">
            <v>3154</v>
          </cell>
          <cell r="F51">
            <v>6437</v>
          </cell>
          <cell r="G51">
            <v>1095</v>
          </cell>
          <cell r="H51">
            <v>3273</v>
          </cell>
          <cell r="I51">
            <v>6556</v>
          </cell>
          <cell r="J51">
            <v>780</v>
          </cell>
          <cell r="K51">
            <v>2957</v>
          </cell>
          <cell r="L51">
            <v>6240</v>
          </cell>
        </row>
        <row r="52">
          <cell r="A52">
            <v>47</v>
          </cell>
          <cell r="D52">
            <v>973</v>
          </cell>
          <cell r="E52">
            <v>3142</v>
          </cell>
          <cell r="F52">
            <v>6412</v>
          </cell>
          <cell r="G52">
            <v>1091</v>
          </cell>
          <cell r="H52">
            <v>3260</v>
          </cell>
          <cell r="I52">
            <v>6530</v>
          </cell>
          <cell r="J52">
            <v>777</v>
          </cell>
          <cell r="K52">
            <v>2946</v>
          </cell>
          <cell r="L52">
            <v>6216</v>
          </cell>
        </row>
        <row r="53">
          <cell r="A53">
            <v>48</v>
          </cell>
          <cell r="D53">
            <v>1015</v>
          </cell>
          <cell r="E53">
            <v>3278</v>
          </cell>
          <cell r="F53">
            <v>6689</v>
          </cell>
          <cell r="G53">
            <v>1138</v>
          </cell>
          <cell r="H53">
            <v>3401</v>
          </cell>
          <cell r="I53">
            <v>6812</v>
          </cell>
          <cell r="J53">
            <v>810</v>
          </cell>
          <cell r="K53">
            <v>3073</v>
          </cell>
          <cell r="L53">
            <v>6483</v>
          </cell>
        </row>
        <row r="54">
          <cell r="A54">
            <v>49</v>
          </cell>
          <cell r="D54">
            <v>982</v>
          </cell>
          <cell r="E54">
            <v>3170</v>
          </cell>
          <cell r="F54">
            <v>6470</v>
          </cell>
          <cell r="G54">
            <v>1101</v>
          </cell>
          <cell r="H54">
            <v>3290</v>
          </cell>
          <cell r="I54">
            <v>6589</v>
          </cell>
          <cell r="J54">
            <v>784</v>
          </cell>
          <cell r="K54">
            <v>2972</v>
          </cell>
          <cell r="L54">
            <v>6272</v>
          </cell>
        </row>
        <row r="55">
          <cell r="A55">
            <v>50</v>
          </cell>
          <cell r="D55">
            <v>1047</v>
          </cell>
          <cell r="E55">
            <v>3380</v>
          </cell>
          <cell r="F55">
            <v>6896</v>
          </cell>
          <cell r="G55">
            <v>1173</v>
          </cell>
          <cell r="H55">
            <v>3506</v>
          </cell>
          <cell r="I55">
            <v>7023</v>
          </cell>
          <cell r="J55">
            <v>835</v>
          </cell>
          <cell r="K55">
            <v>3168</v>
          </cell>
          <cell r="L55">
            <v>6685</v>
          </cell>
        </row>
        <row r="56">
          <cell r="A56">
            <v>51</v>
          </cell>
          <cell r="D56">
            <v>974</v>
          </cell>
          <cell r="E56">
            <v>3145</v>
          </cell>
          <cell r="F56">
            <v>6418</v>
          </cell>
          <cell r="G56">
            <v>1092</v>
          </cell>
          <cell r="H56">
            <v>3263</v>
          </cell>
          <cell r="I56">
            <v>6536</v>
          </cell>
          <cell r="J56">
            <v>777</v>
          </cell>
          <cell r="K56">
            <v>2948</v>
          </cell>
          <cell r="L56">
            <v>6221</v>
          </cell>
        </row>
        <row r="57">
          <cell r="A57">
            <v>52</v>
          </cell>
          <cell r="D57">
            <v>1039</v>
          </cell>
          <cell r="E57">
            <v>3355</v>
          </cell>
          <cell r="F57">
            <v>6847</v>
          </cell>
          <cell r="G57">
            <v>1165</v>
          </cell>
          <cell r="H57">
            <v>3481</v>
          </cell>
          <cell r="I57">
            <v>6973</v>
          </cell>
          <cell r="J57">
            <v>829</v>
          </cell>
          <cell r="K57">
            <v>3145</v>
          </cell>
          <cell r="L57">
            <v>6637</v>
          </cell>
        </row>
        <row r="58">
          <cell r="A58">
            <v>53</v>
          </cell>
          <cell r="D58">
            <v>978</v>
          </cell>
          <cell r="E58">
            <v>3159</v>
          </cell>
          <cell r="F58">
            <v>6446</v>
          </cell>
          <cell r="G58">
            <v>1097</v>
          </cell>
          <cell r="H58">
            <v>3278</v>
          </cell>
          <cell r="I58">
            <v>6565</v>
          </cell>
          <cell r="J58">
            <v>781</v>
          </cell>
          <cell r="K58">
            <v>2961</v>
          </cell>
          <cell r="L58">
            <v>6249</v>
          </cell>
        </row>
        <row r="59">
          <cell r="A59">
            <v>54</v>
          </cell>
          <cell r="D59">
            <v>954</v>
          </cell>
          <cell r="E59">
            <v>3079</v>
          </cell>
          <cell r="F59">
            <v>6283</v>
          </cell>
          <cell r="G59">
            <v>1069</v>
          </cell>
          <cell r="H59">
            <v>3195</v>
          </cell>
          <cell r="I59">
            <v>6399</v>
          </cell>
          <cell r="J59">
            <v>761</v>
          </cell>
          <cell r="K59">
            <v>2886</v>
          </cell>
          <cell r="L59">
            <v>6091</v>
          </cell>
        </row>
        <row r="60">
          <cell r="A60">
            <v>55</v>
          </cell>
          <cell r="D60">
            <v>994</v>
          </cell>
          <cell r="E60">
            <v>3208</v>
          </cell>
          <cell r="F60">
            <v>6547</v>
          </cell>
          <cell r="G60">
            <v>1114</v>
          </cell>
          <cell r="H60">
            <v>3329</v>
          </cell>
          <cell r="I60">
            <v>6668</v>
          </cell>
          <cell r="J60">
            <v>793</v>
          </cell>
          <cell r="K60">
            <v>3008</v>
          </cell>
          <cell r="L60">
            <v>6347</v>
          </cell>
        </row>
        <row r="61">
          <cell r="A61">
            <v>56</v>
          </cell>
          <cell r="D61">
            <v>978</v>
          </cell>
          <cell r="E61">
            <v>3158</v>
          </cell>
          <cell r="F61">
            <v>6444</v>
          </cell>
          <cell r="G61">
            <v>1097</v>
          </cell>
          <cell r="H61">
            <v>3277</v>
          </cell>
          <cell r="I61">
            <v>6563</v>
          </cell>
          <cell r="J61">
            <v>780</v>
          </cell>
          <cell r="K61">
            <v>2960</v>
          </cell>
          <cell r="L61">
            <v>6247</v>
          </cell>
        </row>
        <row r="62">
          <cell r="A62">
            <v>57</v>
          </cell>
          <cell r="D62">
            <v>952</v>
          </cell>
          <cell r="E62">
            <v>3074</v>
          </cell>
          <cell r="F62">
            <v>6273</v>
          </cell>
          <cell r="G62">
            <v>1067</v>
          </cell>
          <cell r="H62">
            <v>3190</v>
          </cell>
          <cell r="I62">
            <v>6389</v>
          </cell>
          <cell r="J62">
            <v>760</v>
          </cell>
          <cell r="K62">
            <v>2882</v>
          </cell>
          <cell r="L62">
            <v>6081</v>
          </cell>
        </row>
        <row r="63">
          <cell r="A63">
            <v>58</v>
          </cell>
          <cell r="D63">
            <v>1028</v>
          </cell>
          <cell r="E63">
            <v>3318</v>
          </cell>
          <cell r="F63">
            <v>6771</v>
          </cell>
          <cell r="G63">
            <v>1152</v>
          </cell>
          <cell r="H63">
            <v>3442</v>
          </cell>
          <cell r="I63">
            <v>6895</v>
          </cell>
          <cell r="J63">
            <v>820</v>
          </cell>
          <cell r="K63">
            <v>3110</v>
          </cell>
          <cell r="L63">
            <v>6563</v>
          </cell>
        </row>
        <row r="64">
          <cell r="A64">
            <v>59</v>
          </cell>
          <cell r="D64">
            <v>1009</v>
          </cell>
          <cell r="E64">
            <v>3258</v>
          </cell>
          <cell r="F64">
            <v>6648</v>
          </cell>
          <cell r="G64">
            <v>1131</v>
          </cell>
          <cell r="H64">
            <v>3380</v>
          </cell>
          <cell r="I64">
            <v>6771</v>
          </cell>
          <cell r="J64">
            <v>805</v>
          </cell>
          <cell r="K64">
            <v>3054</v>
          </cell>
          <cell r="L64">
            <v>6445</v>
          </cell>
        </row>
        <row r="65">
          <cell r="A65">
            <v>60</v>
          </cell>
          <cell r="D65">
            <v>936</v>
          </cell>
          <cell r="E65">
            <v>3021</v>
          </cell>
          <cell r="F65">
            <v>6164</v>
          </cell>
          <cell r="G65">
            <v>1049</v>
          </cell>
          <cell r="H65">
            <v>3134</v>
          </cell>
          <cell r="I65">
            <v>6278</v>
          </cell>
          <cell r="J65">
            <v>747</v>
          </cell>
          <cell r="K65">
            <v>2832</v>
          </cell>
          <cell r="L65">
            <v>5975</v>
          </cell>
        </row>
        <row r="66">
          <cell r="A66">
            <v>61</v>
          </cell>
          <cell r="D66">
            <v>943</v>
          </cell>
          <cell r="E66">
            <v>3045</v>
          </cell>
          <cell r="F66">
            <v>6214</v>
          </cell>
          <cell r="G66">
            <v>1057</v>
          </cell>
          <cell r="H66">
            <v>3159</v>
          </cell>
          <cell r="I66">
            <v>6328</v>
          </cell>
          <cell r="J66">
            <v>753</v>
          </cell>
          <cell r="K66">
            <v>2854</v>
          </cell>
          <cell r="L66">
            <v>6023</v>
          </cell>
        </row>
        <row r="67">
          <cell r="A67">
            <v>62</v>
          </cell>
          <cell r="D67">
            <v>964</v>
          </cell>
          <cell r="E67">
            <v>3112</v>
          </cell>
          <cell r="F67">
            <v>6352</v>
          </cell>
          <cell r="G67">
            <v>1081</v>
          </cell>
          <cell r="H67">
            <v>3229</v>
          </cell>
          <cell r="I67">
            <v>6468</v>
          </cell>
          <cell r="J67">
            <v>769</v>
          </cell>
          <cell r="K67">
            <v>2918</v>
          </cell>
          <cell r="L67">
            <v>6157</v>
          </cell>
        </row>
        <row r="68">
          <cell r="A68">
            <v>63</v>
          </cell>
          <cell r="D68">
            <v>945</v>
          </cell>
          <cell r="E68">
            <v>3052</v>
          </cell>
          <cell r="F68">
            <v>6228</v>
          </cell>
          <cell r="G68">
            <v>1060</v>
          </cell>
          <cell r="H68">
            <v>3166</v>
          </cell>
          <cell r="I68">
            <v>6342</v>
          </cell>
          <cell r="J68">
            <v>754</v>
          </cell>
          <cell r="K68">
            <v>2861</v>
          </cell>
          <cell r="L68">
            <v>6037</v>
          </cell>
        </row>
        <row r="69">
          <cell r="A69">
            <v>64</v>
          </cell>
          <cell r="D69">
            <v>979</v>
          </cell>
          <cell r="E69">
            <v>3161</v>
          </cell>
          <cell r="F69">
            <v>6451</v>
          </cell>
          <cell r="G69">
            <v>1098</v>
          </cell>
          <cell r="H69">
            <v>3280</v>
          </cell>
          <cell r="I69">
            <v>6569</v>
          </cell>
          <cell r="J69">
            <v>781</v>
          </cell>
          <cell r="K69">
            <v>2963</v>
          </cell>
          <cell r="L69">
            <v>6253</v>
          </cell>
        </row>
        <row r="70">
          <cell r="A70">
            <v>65</v>
          </cell>
          <cell r="D70">
            <v>957</v>
          </cell>
          <cell r="E70">
            <v>3090</v>
          </cell>
          <cell r="F70">
            <v>6305</v>
          </cell>
          <cell r="G70">
            <v>1073</v>
          </cell>
          <cell r="H70">
            <v>3206</v>
          </cell>
          <cell r="I70">
            <v>6421</v>
          </cell>
          <cell r="J70">
            <v>764</v>
          </cell>
          <cell r="K70">
            <v>2897</v>
          </cell>
          <cell r="L70">
            <v>6112</v>
          </cell>
        </row>
        <row r="71">
          <cell r="A71">
            <v>66</v>
          </cell>
          <cell r="D71">
            <v>951</v>
          </cell>
          <cell r="E71">
            <v>3071</v>
          </cell>
          <cell r="F71">
            <v>6267</v>
          </cell>
          <cell r="G71">
            <v>1066</v>
          </cell>
          <cell r="H71">
            <v>3186</v>
          </cell>
          <cell r="I71">
            <v>6382</v>
          </cell>
          <cell r="J71">
            <v>759</v>
          </cell>
          <cell r="K71">
            <v>2879</v>
          </cell>
          <cell r="L71">
            <v>6074</v>
          </cell>
        </row>
        <row r="72">
          <cell r="A72">
            <v>67</v>
          </cell>
          <cell r="D72">
            <v>923</v>
          </cell>
          <cell r="E72">
            <v>2981</v>
          </cell>
          <cell r="F72">
            <v>6083</v>
          </cell>
          <cell r="G72">
            <v>1035</v>
          </cell>
          <cell r="H72">
            <v>3093</v>
          </cell>
          <cell r="I72">
            <v>6195</v>
          </cell>
          <cell r="J72">
            <v>737</v>
          </cell>
          <cell r="K72">
            <v>2794</v>
          </cell>
          <cell r="L72">
            <v>5896</v>
          </cell>
        </row>
        <row r="73">
          <cell r="A73">
            <v>68</v>
          </cell>
          <cell r="D73">
            <v>923</v>
          </cell>
          <cell r="E73">
            <v>2981</v>
          </cell>
          <cell r="F73">
            <v>6083</v>
          </cell>
          <cell r="G73">
            <v>1035</v>
          </cell>
          <cell r="H73">
            <v>3093</v>
          </cell>
          <cell r="I73">
            <v>6195</v>
          </cell>
          <cell r="J73">
            <v>737</v>
          </cell>
          <cell r="K73">
            <v>2794</v>
          </cell>
          <cell r="L73">
            <v>5896</v>
          </cell>
        </row>
        <row r="74">
          <cell r="A74">
            <v>69</v>
          </cell>
          <cell r="D74">
            <v>986</v>
          </cell>
          <cell r="E74">
            <v>3184</v>
          </cell>
          <cell r="F74">
            <v>6498</v>
          </cell>
          <cell r="G74">
            <v>1106</v>
          </cell>
          <cell r="H74">
            <v>3304</v>
          </cell>
          <cell r="I74">
            <v>6618</v>
          </cell>
          <cell r="J74">
            <v>787</v>
          </cell>
          <cell r="K74">
            <v>2985</v>
          </cell>
          <cell r="L74">
            <v>6299</v>
          </cell>
        </row>
        <row r="75">
          <cell r="A75">
            <v>70</v>
          </cell>
          <cell r="D75">
            <v>1047</v>
          </cell>
          <cell r="E75">
            <v>3380</v>
          </cell>
          <cell r="F75">
            <v>6896</v>
          </cell>
          <cell r="G75">
            <v>1173</v>
          </cell>
          <cell r="H75">
            <v>3506</v>
          </cell>
          <cell r="I75">
            <v>7023</v>
          </cell>
          <cell r="J75">
            <v>835</v>
          </cell>
          <cell r="K75">
            <v>3168</v>
          </cell>
          <cell r="L75">
            <v>6685</v>
          </cell>
        </row>
        <row r="76">
          <cell r="A76">
            <v>71</v>
          </cell>
          <cell r="D76">
            <v>978</v>
          </cell>
          <cell r="E76">
            <v>3158</v>
          </cell>
          <cell r="F76">
            <v>6444</v>
          </cell>
          <cell r="G76">
            <v>1097</v>
          </cell>
          <cell r="H76">
            <v>3277</v>
          </cell>
          <cell r="I76">
            <v>6563</v>
          </cell>
          <cell r="J76">
            <v>780</v>
          </cell>
          <cell r="K76">
            <v>2960</v>
          </cell>
          <cell r="L76">
            <v>6247</v>
          </cell>
        </row>
        <row r="77">
          <cell r="A77">
            <v>72</v>
          </cell>
          <cell r="D77">
            <v>1058</v>
          </cell>
          <cell r="E77">
            <v>3418</v>
          </cell>
          <cell r="F77">
            <v>6974</v>
          </cell>
          <cell r="G77">
            <v>1187</v>
          </cell>
          <cell r="H77">
            <v>3546</v>
          </cell>
          <cell r="I77">
            <v>7102</v>
          </cell>
          <cell r="J77">
            <v>845</v>
          </cell>
          <cell r="K77">
            <v>3204</v>
          </cell>
          <cell r="L77">
            <v>6760</v>
          </cell>
        </row>
        <row r="78">
          <cell r="A78">
            <v>73</v>
          </cell>
          <cell r="D78">
            <v>986</v>
          </cell>
          <cell r="E78">
            <v>3184</v>
          </cell>
          <cell r="F78">
            <v>6498</v>
          </cell>
          <cell r="G78">
            <v>1106</v>
          </cell>
          <cell r="H78">
            <v>3304</v>
          </cell>
          <cell r="I78">
            <v>6618</v>
          </cell>
          <cell r="J78">
            <v>787</v>
          </cell>
          <cell r="K78">
            <v>2985</v>
          </cell>
          <cell r="L78">
            <v>6299</v>
          </cell>
        </row>
        <row r="79">
          <cell r="A79">
            <v>74</v>
          </cell>
          <cell r="D79">
            <v>975</v>
          </cell>
          <cell r="E79">
            <v>3147</v>
          </cell>
          <cell r="F79">
            <v>6422</v>
          </cell>
          <cell r="G79">
            <v>1093</v>
          </cell>
          <cell r="H79">
            <v>3265</v>
          </cell>
          <cell r="I79">
            <v>6540</v>
          </cell>
          <cell r="J79">
            <v>778</v>
          </cell>
          <cell r="K79">
            <v>2950</v>
          </cell>
          <cell r="L79">
            <v>6225</v>
          </cell>
        </row>
        <row r="80">
          <cell r="A80">
            <v>75</v>
          </cell>
          <cell r="D80">
            <v>1015</v>
          </cell>
          <cell r="E80">
            <v>3277</v>
          </cell>
          <cell r="F80">
            <v>6687</v>
          </cell>
          <cell r="G80">
            <v>1138</v>
          </cell>
          <cell r="H80">
            <v>3400</v>
          </cell>
          <cell r="I80">
            <v>6810</v>
          </cell>
          <cell r="J80">
            <v>810</v>
          </cell>
          <cell r="K80">
            <v>3072</v>
          </cell>
          <cell r="L80">
            <v>6482</v>
          </cell>
        </row>
      </sheetData>
      <sheetData sheetId="3" refreshError="1">
        <row r="2">
          <cell r="B2" t="str">
            <v>2025-26 Transportation Calculation</v>
          </cell>
        </row>
        <row r="3">
          <cell r="B3" t="str">
            <v>Funding Per Student</v>
          </cell>
        </row>
        <row r="6">
          <cell r="F6" t="str">
            <v xml:space="preserve">Allocation </v>
          </cell>
          <cell r="J6" t="str">
            <v xml:space="preserve">Allocation </v>
          </cell>
        </row>
        <row r="7">
          <cell r="F7" t="str">
            <v>per Base</v>
          </cell>
          <cell r="J7" t="str">
            <v>per ESE</v>
          </cell>
        </row>
        <row r="8">
          <cell r="F8" t="str">
            <v>Student</v>
          </cell>
          <cell r="J8" t="str">
            <v>Student</v>
          </cell>
        </row>
        <row r="9">
          <cell r="F9" t="str">
            <v>-3-</v>
          </cell>
          <cell r="J9" t="str">
            <v>-6-</v>
          </cell>
        </row>
        <row r="10">
          <cell r="B10">
            <v>1</v>
          </cell>
          <cell r="F10">
            <v>607</v>
          </cell>
          <cell r="J10">
            <v>1842</v>
          </cell>
        </row>
        <row r="11">
          <cell r="B11">
            <v>2</v>
          </cell>
          <cell r="F11">
            <v>651</v>
          </cell>
          <cell r="J11">
            <v>1976</v>
          </cell>
        </row>
        <row r="12">
          <cell r="B12">
            <v>3</v>
          </cell>
          <cell r="F12">
            <v>583</v>
          </cell>
          <cell r="J12">
            <v>1768</v>
          </cell>
        </row>
        <row r="13">
          <cell r="B13">
            <v>4</v>
          </cell>
          <cell r="F13">
            <v>613</v>
          </cell>
          <cell r="J13">
            <v>1860</v>
          </cell>
        </row>
        <row r="14">
          <cell r="B14">
            <v>5</v>
          </cell>
          <cell r="F14">
            <v>587</v>
          </cell>
          <cell r="J14">
            <v>1781</v>
          </cell>
        </row>
        <row r="15">
          <cell r="B15">
            <v>6</v>
          </cell>
          <cell r="F15">
            <v>571</v>
          </cell>
          <cell r="J15">
            <v>1731</v>
          </cell>
        </row>
        <row r="16">
          <cell r="B16">
            <v>7</v>
          </cell>
          <cell r="F16">
            <v>643</v>
          </cell>
          <cell r="J16">
            <v>1951</v>
          </cell>
        </row>
        <row r="17">
          <cell r="B17">
            <v>8</v>
          </cell>
          <cell r="F17">
            <v>583</v>
          </cell>
          <cell r="J17">
            <v>1768</v>
          </cell>
        </row>
        <row r="18">
          <cell r="B18">
            <v>9</v>
          </cell>
          <cell r="F18">
            <v>607</v>
          </cell>
          <cell r="J18">
            <v>1842</v>
          </cell>
        </row>
        <row r="19">
          <cell r="B19">
            <v>10</v>
          </cell>
          <cell r="F19">
            <v>602</v>
          </cell>
          <cell r="J19">
            <v>1827</v>
          </cell>
        </row>
        <row r="20">
          <cell r="B20">
            <v>11</v>
          </cell>
          <cell r="F20">
            <v>582</v>
          </cell>
          <cell r="J20">
            <v>1766</v>
          </cell>
        </row>
        <row r="21">
          <cell r="B21">
            <v>12</v>
          </cell>
          <cell r="F21">
            <v>641</v>
          </cell>
          <cell r="J21">
            <v>1943</v>
          </cell>
        </row>
        <row r="22">
          <cell r="B22">
            <v>13</v>
          </cell>
          <cell r="F22">
            <v>552</v>
          </cell>
          <cell r="J22">
            <v>1675</v>
          </cell>
        </row>
        <row r="23">
          <cell r="B23">
            <v>14</v>
          </cell>
          <cell r="F23">
            <v>610</v>
          </cell>
          <cell r="J23">
            <v>1849</v>
          </cell>
        </row>
        <row r="24">
          <cell r="B24">
            <v>15</v>
          </cell>
          <cell r="F24">
            <v>646</v>
          </cell>
          <cell r="J24">
            <v>1959</v>
          </cell>
        </row>
        <row r="25">
          <cell r="B25">
            <v>16</v>
          </cell>
          <cell r="F25">
            <v>556</v>
          </cell>
          <cell r="J25">
            <v>1686</v>
          </cell>
        </row>
        <row r="26">
          <cell r="B26">
            <v>17</v>
          </cell>
          <cell r="F26">
            <v>585</v>
          </cell>
          <cell r="J26">
            <v>1774</v>
          </cell>
        </row>
        <row r="27">
          <cell r="B27">
            <v>18</v>
          </cell>
          <cell r="F27">
            <v>598</v>
          </cell>
          <cell r="J27">
            <v>1814</v>
          </cell>
        </row>
        <row r="28">
          <cell r="B28">
            <v>19</v>
          </cell>
          <cell r="F28">
            <v>673</v>
          </cell>
          <cell r="J28">
            <v>2045</v>
          </cell>
        </row>
        <row r="29">
          <cell r="B29">
            <v>20</v>
          </cell>
          <cell r="F29">
            <v>637</v>
          </cell>
          <cell r="J29">
            <v>1932</v>
          </cell>
        </row>
        <row r="30">
          <cell r="B30">
            <v>21</v>
          </cell>
          <cell r="F30">
            <v>664</v>
          </cell>
          <cell r="J30">
            <v>2015</v>
          </cell>
        </row>
        <row r="31">
          <cell r="B31">
            <v>22</v>
          </cell>
          <cell r="F31">
            <v>626</v>
          </cell>
          <cell r="J31">
            <v>1898</v>
          </cell>
        </row>
        <row r="32">
          <cell r="B32">
            <v>23</v>
          </cell>
          <cell r="F32">
            <v>647</v>
          </cell>
          <cell r="J32">
            <v>1961</v>
          </cell>
        </row>
        <row r="33">
          <cell r="B33">
            <v>24</v>
          </cell>
          <cell r="F33">
            <v>670</v>
          </cell>
          <cell r="J33">
            <v>2032</v>
          </cell>
        </row>
        <row r="34">
          <cell r="B34">
            <v>25</v>
          </cell>
          <cell r="F34">
            <v>663</v>
          </cell>
          <cell r="J34">
            <v>2011</v>
          </cell>
        </row>
        <row r="35">
          <cell r="B35">
            <v>26</v>
          </cell>
          <cell r="F35">
            <v>611</v>
          </cell>
          <cell r="J35">
            <v>1853</v>
          </cell>
        </row>
        <row r="36">
          <cell r="B36">
            <v>27</v>
          </cell>
          <cell r="F36">
            <v>649</v>
          </cell>
          <cell r="J36">
            <v>1967</v>
          </cell>
        </row>
        <row r="37">
          <cell r="B37">
            <v>28</v>
          </cell>
          <cell r="F37">
            <v>587</v>
          </cell>
          <cell r="J37">
            <v>1780</v>
          </cell>
        </row>
        <row r="38">
          <cell r="B38">
            <v>29</v>
          </cell>
          <cell r="F38">
            <v>597</v>
          </cell>
          <cell r="J38">
            <v>1811</v>
          </cell>
        </row>
        <row r="39">
          <cell r="B39">
            <v>30</v>
          </cell>
          <cell r="F39">
            <v>644</v>
          </cell>
          <cell r="J39">
            <v>1953</v>
          </cell>
        </row>
        <row r="40">
          <cell r="B40">
            <v>31</v>
          </cell>
          <cell r="F40">
            <v>578</v>
          </cell>
          <cell r="J40">
            <v>1754</v>
          </cell>
        </row>
        <row r="41">
          <cell r="B41">
            <v>32</v>
          </cell>
          <cell r="F41">
            <v>641</v>
          </cell>
          <cell r="J41">
            <v>1945</v>
          </cell>
        </row>
        <row r="42">
          <cell r="B42">
            <v>33</v>
          </cell>
          <cell r="F42">
            <v>653</v>
          </cell>
          <cell r="J42">
            <v>1977</v>
          </cell>
        </row>
        <row r="43">
          <cell r="B43">
            <v>34</v>
          </cell>
          <cell r="F43">
            <v>647</v>
          </cell>
          <cell r="J43">
            <v>0</v>
          </cell>
        </row>
        <row r="44">
          <cell r="B44">
            <v>35</v>
          </cell>
          <cell r="F44">
            <v>580</v>
          </cell>
          <cell r="J44">
            <v>1759</v>
          </cell>
        </row>
        <row r="45">
          <cell r="B45">
            <v>36</v>
          </cell>
          <cell r="F45">
            <v>585</v>
          </cell>
          <cell r="J45">
            <v>1773</v>
          </cell>
        </row>
        <row r="46">
          <cell r="B46">
            <v>37</v>
          </cell>
          <cell r="F46">
            <v>598</v>
          </cell>
          <cell r="J46">
            <v>1813</v>
          </cell>
        </row>
        <row r="47">
          <cell r="B47">
            <v>38</v>
          </cell>
          <cell r="F47">
            <v>666</v>
          </cell>
          <cell r="J47">
            <v>2019</v>
          </cell>
        </row>
        <row r="48">
          <cell r="B48">
            <v>39</v>
          </cell>
          <cell r="F48">
            <v>649</v>
          </cell>
          <cell r="J48">
            <v>1968</v>
          </cell>
        </row>
        <row r="49">
          <cell r="B49">
            <v>40</v>
          </cell>
          <cell r="F49">
            <v>650</v>
          </cell>
          <cell r="J49">
            <v>1973</v>
          </cell>
        </row>
        <row r="50">
          <cell r="B50">
            <v>41</v>
          </cell>
          <cell r="F50">
            <v>596</v>
          </cell>
          <cell r="J50">
            <v>1809</v>
          </cell>
        </row>
        <row r="51">
          <cell r="B51">
            <v>42</v>
          </cell>
          <cell r="F51">
            <v>614</v>
          </cell>
          <cell r="J51">
            <v>1864</v>
          </cell>
        </row>
        <row r="52">
          <cell r="B52">
            <v>43</v>
          </cell>
          <cell r="F52">
            <v>615</v>
          </cell>
          <cell r="J52">
            <v>1865</v>
          </cell>
        </row>
        <row r="53">
          <cell r="B53">
            <v>44</v>
          </cell>
          <cell r="F53">
            <v>583</v>
          </cell>
          <cell r="J53">
            <v>1767</v>
          </cell>
        </row>
        <row r="54">
          <cell r="B54">
            <v>45</v>
          </cell>
          <cell r="F54">
            <v>666</v>
          </cell>
          <cell r="J54">
            <v>2020</v>
          </cell>
        </row>
        <row r="55">
          <cell r="B55">
            <v>46</v>
          </cell>
          <cell r="F55">
            <v>588</v>
          </cell>
          <cell r="J55">
            <v>1782</v>
          </cell>
        </row>
        <row r="56">
          <cell r="B56">
            <v>47</v>
          </cell>
          <cell r="F56">
            <v>607</v>
          </cell>
          <cell r="J56">
            <v>1841</v>
          </cell>
        </row>
        <row r="57">
          <cell r="B57">
            <v>48</v>
          </cell>
          <cell r="F57">
            <v>610</v>
          </cell>
          <cell r="J57">
            <v>1850</v>
          </cell>
        </row>
        <row r="58">
          <cell r="B58">
            <v>49</v>
          </cell>
          <cell r="F58">
            <v>614</v>
          </cell>
          <cell r="J58">
            <v>1862</v>
          </cell>
        </row>
        <row r="59">
          <cell r="B59">
            <v>50</v>
          </cell>
          <cell r="F59">
            <v>617</v>
          </cell>
          <cell r="J59">
            <v>1870</v>
          </cell>
        </row>
        <row r="60">
          <cell r="B60">
            <v>51</v>
          </cell>
          <cell r="F60">
            <v>626</v>
          </cell>
          <cell r="J60">
            <v>1899</v>
          </cell>
        </row>
        <row r="61">
          <cell r="B61">
            <v>52</v>
          </cell>
          <cell r="F61">
            <v>578</v>
          </cell>
          <cell r="J61">
            <v>1752</v>
          </cell>
        </row>
        <row r="62">
          <cell r="B62">
            <v>53</v>
          </cell>
          <cell r="F62">
            <v>611</v>
          </cell>
          <cell r="J62">
            <v>1853</v>
          </cell>
        </row>
        <row r="63">
          <cell r="B63">
            <v>54</v>
          </cell>
          <cell r="F63">
            <v>675</v>
          </cell>
          <cell r="J63">
            <v>2046</v>
          </cell>
        </row>
        <row r="64">
          <cell r="B64">
            <v>55</v>
          </cell>
          <cell r="F64">
            <v>632</v>
          </cell>
          <cell r="J64">
            <v>1917</v>
          </cell>
        </row>
        <row r="65">
          <cell r="B65">
            <v>56</v>
          </cell>
          <cell r="F65">
            <v>577</v>
          </cell>
          <cell r="J65">
            <v>1752</v>
          </cell>
        </row>
        <row r="66">
          <cell r="B66">
            <v>57</v>
          </cell>
          <cell r="F66">
            <v>596</v>
          </cell>
          <cell r="J66">
            <v>1808</v>
          </cell>
        </row>
        <row r="67">
          <cell r="B67">
            <v>58</v>
          </cell>
          <cell r="F67">
            <v>583</v>
          </cell>
          <cell r="J67">
            <v>1770</v>
          </cell>
        </row>
        <row r="68">
          <cell r="B68">
            <v>59</v>
          </cell>
          <cell r="F68">
            <v>609</v>
          </cell>
          <cell r="J68">
            <v>1847</v>
          </cell>
        </row>
        <row r="69">
          <cell r="B69">
            <v>60</v>
          </cell>
          <cell r="F69">
            <v>584</v>
          </cell>
          <cell r="J69">
            <v>1771</v>
          </cell>
        </row>
        <row r="70">
          <cell r="B70">
            <v>61</v>
          </cell>
          <cell r="F70">
            <v>637</v>
          </cell>
          <cell r="J70">
            <v>1933</v>
          </cell>
        </row>
        <row r="71">
          <cell r="B71">
            <v>62</v>
          </cell>
          <cell r="F71">
            <v>622</v>
          </cell>
          <cell r="J71">
            <v>1887</v>
          </cell>
        </row>
        <row r="72">
          <cell r="B72">
            <v>63</v>
          </cell>
          <cell r="F72">
            <v>663</v>
          </cell>
          <cell r="J72">
            <v>2011</v>
          </cell>
        </row>
        <row r="73">
          <cell r="B73">
            <v>64</v>
          </cell>
          <cell r="F73">
            <v>656</v>
          </cell>
          <cell r="J73">
            <v>1988</v>
          </cell>
        </row>
        <row r="74">
          <cell r="B74">
            <v>65</v>
          </cell>
          <cell r="F74">
            <v>671</v>
          </cell>
          <cell r="J74">
            <v>2035</v>
          </cell>
        </row>
        <row r="75">
          <cell r="B75">
            <v>66</v>
          </cell>
          <cell r="F75">
            <v>653</v>
          </cell>
          <cell r="J75">
            <v>1980</v>
          </cell>
        </row>
        <row r="76">
          <cell r="B76">
            <v>67</v>
          </cell>
          <cell r="F76">
            <v>656</v>
          </cell>
          <cell r="J76">
            <v>1990</v>
          </cell>
        </row>
        <row r="78">
          <cell r="F78">
            <v>600</v>
          </cell>
          <cell r="J78">
            <v>1810</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veys"/>
      <sheetName val="Net Payment"/>
      <sheetName val="Annual Rev &amp; Fees"/>
      <sheetName val="Charter Schools"/>
      <sheetName val="Consolidated"/>
      <sheetName val="Cumulative Payments"/>
      <sheetName val="0040"/>
      <sheetName val="0100"/>
      <sheetName val="1461"/>
      <sheetName val="1571"/>
      <sheetName val="2521"/>
      <sheetName val="2531"/>
      <sheetName val="2791"/>
      <sheetName val="2801"/>
      <sheetName val="2911"/>
      <sheetName val="2941"/>
      <sheetName val="3083"/>
      <sheetName val="3345"/>
      <sheetName val="3362"/>
      <sheetName val="3381"/>
      <sheetName val="3382"/>
      <sheetName val="3391"/>
      <sheetName val="3394"/>
      <sheetName val="3395"/>
      <sheetName val="3396"/>
      <sheetName val="3398"/>
      <sheetName val="3400"/>
      <sheetName val="3401"/>
      <sheetName val="3413"/>
      <sheetName val="3421"/>
      <sheetName val="3431"/>
      <sheetName val="3441"/>
      <sheetName val="3924"/>
      <sheetName val="3941"/>
      <sheetName val="3961"/>
      <sheetName val="3971"/>
      <sheetName val="4001"/>
      <sheetName val="4002"/>
      <sheetName val="4012"/>
      <sheetName val="4013"/>
      <sheetName val="4020"/>
      <sheetName val="4030"/>
      <sheetName val="4031"/>
      <sheetName val="4041"/>
      <sheetName val="4050"/>
      <sheetName val="4051"/>
      <sheetName val="4061"/>
      <sheetName val="4080"/>
      <sheetName val="4081"/>
      <sheetName val="4090"/>
      <sheetName val="4091"/>
      <sheetName val="4100"/>
      <sheetName val="4102"/>
      <sheetName val="4103"/>
      <sheetName val="4111"/>
      <sheetName val="4131"/>
      <sheetName val="Virtual"/>
    </sheetNames>
    <sheetDataSet>
      <sheetData sheetId="0" refreshError="1"/>
      <sheetData sheetId="1" refreshError="1"/>
      <sheetData sheetId="2" refreshError="1"/>
      <sheetData sheetId="3" refreshError="1"/>
      <sheetData sheetId="4" refreshError="1">
        <row r="32">
          <cell r="E32">
            <v>21402.560000000001</v>
          </cell>
        </row>
        <row r="105">
          <cell r="E105">
            <v>1.0355000000000001</v>
          </cell>
        </row>
        <row r="106">
          <cell r="E106">
            <v>1.0355000000000001</v>
          </cell>
        </row>
        <row r="107">
          <cell r="E107">
            <v>1.0355000000000001</v>
          </cell>
        </row>
      </sheetData>
      <sheetData sheetId="5" refreshError="1"/>
      <sheetData sheetId="6" refreshError="1">
        <row r="88">
          <cell r="I88">
            <v>0</v>
          </cell>
        </row>
        <row r="96">
          <cell r="I96">
            <v>0</v>
          </cell>
        </row>
        <row r="98">
          <cell r="I98">
            <v>0</v>
          </cell>
        </row>
        <row r="114">
          <cell r="E114">
            <v>0</v>
          </cell>
        </row>
      </sheetData>
      <sheetData sheetId="7" refreshError="1">
        <row r="88">
          <cell r="I88">
            <v>0</v>
          </cell>
        </row>
        <row r="96">
          <cell r="I96">
            <v>0</v>
          </cell>
        </row>
        <row r="98">
          <cell r="I98">
            <v>0</v>
          </cell>
        </row>
        <row r="114">
          <cell r="E114">
            <v>0</v>
          </cell>
        </row>
      </sheetData>
      <sheetData sheetId="8" refreshError="1">
        <row r="3">
          <cell r="A3" t="str">
            <v>Based on the FLDOE 2025-26 FEFP Calculation</v>
          </cell>
        </row>
        <row r="8">
          <cell r="C8">
            <v>5372.6</v>
          </cell>
          <cell r="H8">
            <v>1.0355000000000001</v>
          </cell>
        </row>
        <row r="9">
          <cell r="H9">
            <v>1</v>
          </cell>
        </row>
        <row r="10">
          <cell r="I10" t="str">
            <v>2025-26</v>
          </cell>
        </row>
        <row r="11">
          <cell r="C11" t="str">
            <v>Oct 2024</v>
          </cell>
          <cell r="D11" t="str">
            <v>Feb 2025</v>
          </cell>
        </row>
        <row r="12">
          <cell r="C12" t="str">
            <v>FTE</v>
          </cell>
          <cell r="D12" t="str">
            <v>FTE</v>
          </cell>
        </row>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F96">
            <v>0</v>
          </cell>
          <cell r="I96">
            <v>0</v>
          </cell>
        </row>
        <row r="98">
          <cell r="F98">
            <v>0</v>
          </cell>
          <cell r="I98">
            <v>0</v>
          </cell>
        </row>
        <row r="114">
          <cell r="E114">
            <v>0</v>
          </cell>
        </row>
        <row r="126">
          <cell r="I126">
            <v>0</v>
          </cell>
        </row>
        <row r="133">
          <cell r="H133" t="str">
            <v/>
          </cell>
        </row>
        <row r="135">
          <cell r="G135" t="str">
            <v>H</v>
          </cell>
        </row>
      </sheetData>
      <sheetData sheetId="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row r="135">
          <cell r="G135" t="str">
            <v>H</v>
          </cell>
        </row>
      </sheetData>
      <sheetData sheetId="1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v>1</v>
          </cell>
        </row>
      </sheetData>
      <sheetData sheetId="1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1</v>
          </cell>
        </row>
        <row r="126">
          <cell r="I126">
            <v>0</v>
          </cell>
        </row>
        <row r="133">
          <cell r="H133">
            <v>1</v>
          </cell>
        </row>
      </sheetData>
      <sheetData sheetId="1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v>1</v>
          </cell>
        </row>
      </sheetData>
      <sheetData sheetId="1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1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row r="135">
          <cell r="G135" t="str">
            <v>H</v>
          </cell>
        </row>
      </sheetData>
      <sheetData sheetId="1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0.5</v>
          </cell>
        </row>
        <row r="126">
          <cell r="I126">
            <v>0</v>
          </cell>
        </row>
        <row r="133">
          <cell r="H133">
            <v>1</v>
          </cell>
        </row>
      </sheetData>
      <sheetData sheetId="1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v>1</v>
          </cell>
        </row>
      </sheetData>
      <sheetData sheetId="1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v>1</v>
          </cell>
        </row>
      </sheetData>
      <sheetData sheetId="1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row r="135">
          <cell r="G135" t="str">
            <v>H</v>
          </cell>
        </row>
      </sheetData>
      <sheetData sheetId="2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2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v>1</v>
          </cell>
        </row>
      </sheetData>
      <sheetData sheetId="2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2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2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row r="135">
          <cell r="G135" t="str">
            <v>H</v>
          </cell>
        </row>
      </sheetData>
      <sheetData sheetId="2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2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v>1</v>
          </cell>
        </row>
      </sheetData>
      <sheetData sheetId="2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row r="135">
          <cell r="G135" t="str">
            <v>H</v>
          </cell>
        </row>
      </sheetData>
      <sheetData sheetId="2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3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row r="135">
          <cell r="G135" t="str">
            <v>H</v>
          </cell>
        </row>
      </sheetData>
      <sheetData sheetId="3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3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3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row r="135">
          <cell r="G135" t="str">
            <v>H</v>
          </cell>
        </row>
      </sheetData>
      <sheetData sheetId="3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3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3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3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3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row r="135">
          <cell r="G135" t="str">
            <v>H</v>
          </cell>
        </row>
      </sheetData>
      <sheetData sheetId="3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row r="135">
          <cell r="G135" t="str">
            <v>H</v>
          </cell>
        </row>
      </sheetData>
      <sheetData sheetId="4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4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4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4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row r="135">
          <cell r="G135" t="str">
            <v>H</v>
          </cell>
        </row>
      </sheetData>
      <sheetData sheetId="4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4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4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4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4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4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5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5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v>1</v>
          </cell>
        </row>
      </sheetData>
      <sheetData sheetId="5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5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5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row r="133">
          <cell r="H133" t="str">
            <v/>
          </cell>
        </row>
      </sheetData>
      <sheetData sheetId="55" refreshError="1">
        <row r="88">
          <cell r="I88">
            <v>0</v>
          </cell>
        </row>
        <row r="96">
          <cell r="I96">
            <v>0</v>
          </cell>
        </row>
        <row r="98">
          <cell r="I98">
            <v>0</v>
          </cell>
        </row>
        <row r="114">
          <cell r="E114">
            <v>0</v>
          </cell>
        </row>
        <row r="126">
          <cell r="I126">
            <v>0</v>
          </cell>
        </row>
      </sheetData>
      <sheetData sheetId="56" refreshError="1">
        <row r="28">
          <cell r="E28">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053C-4D73-4891-A977-B0EA2A4A890D}">
  <sheetPr>
    <pageSetUpPr fitToPage="1"/>
  </sheetPr>
  <dimension ref="A1:P536"/>
  <sheetViews>
    <sheetView workbookViewId="0">
      <selection activeCell="F46" sqref="F46:F48"/>
    </sheetView>
  </sheetViews>
  <sheetFormatPr defaultColWidth="9.140625" defaultRowHeight="12.75" customHeight="1" x14ac:dyDescent="0.2"/>
  <cols>
    <col min="1" max="1" width="3" style="309" bestFit="1" customWidth="1"/>
    <col min="2" max="2" width="7.28515625" style="309" customWidth="1"/>
    <col min="3" max="3" width="41" style="309" customWidth="1"/>
    <col min="4" max="4" width="21.85546875" style="309" customWidth="1"/>
    <col min="5" max="5" width="14.42578125" style="309" customWidth="1"/>
    <col min="6" max="6" width="12.140625" style="605" bestFit="1" customWidth="1"/>
    <col min="7" max="7" width="15.85546875" style="309" customWidth="1"/>
    <col min="8" max="8" width="4.28515625" style="605" customWidth="1"/>
    <col min="9" max="9" width="75.7109375" style="309" bestFit="1" customWidth="1"/>
    <col min="10" max="10" width="9.5703125" style="309" bestFit="1" customWidth="1"/>
    <col min="11" max="16384" width="9.140625" style="309"/>
  </cols>
  <sheetData>
    <row r="1" spans="1:9" ht="12.75" customHeight="1" x14ac:dyDescent="0.2">
      <c r="A1" s="602"/>
      <c r="B1" s="603" t="s">
        <v>558</v>
      </c>
      <c r="C1" s="604"/>
      <c r="I1" s="606"/>
    </row>
    <row r="2" spans="1:9" ht="12.75" customHeight="1" x14ac:dyDescent="0.2">
      <c r="B2" s="607" t="str">
        <f>Based_on_the_Second_Calculation_of_the_FEFP_2010_11</f>
        <v>Based on the 2025-26 FEFP Second Calculation</v>
      </c>
      <c r="C2" s="608"/>
      <c r="E2" s="609"/>
      <c r="F2" s="610"/>
      <c r="G2" s="609"/>
      <c r="I2" s="611"/>
    </row>
    <row r="3" spans="1:9" ht="12.75" customHeight="1" thickBot="1" x14ac:dyDescent="0.25">
      <c r="B3" s="612"/>
      <c r="C3" s="608"/>
      <c r="E3" s="609"/>
      <c r="F3" s="745"/>
      <c r="G3" s="745"/>
      <c r="I3" s="611"/>
    </row>
    <row r="4" spans="1:9" ht="12.75" customHeight="1" thickBot="1" x14ac:dyDescent="0.25">
      <c r="A4" s="310"/>
      <c r="B4" s="613" t="s">
        <v>487</v>
      </c>
      <c r="C4" s="614" t="s">
        <v>488</v>
      </c>
      <c r="D4" s="599" t="s">
        <v>489</v>
      </c>
      <c r="E4" s="600" t="s">
        <v>54</v>
      </c>
      <c r="F4" s="615" t="s">
        <v>490</v>
      </c>
      <c r="G4" s="600" t="s">
        <v>491</v>
      </c>
      <c r="I4" s="616" t="s">
        <v>492</v>
      </c>
    </row>
    <row r="5" spans="1:9" ht="12.75" customHeight="1" x14ac:dyDescent="0.2">
      <c r="A5" s="617">
        <v>1</v>
      </c>
      <c r="B5" s="618" t="s">
        <v>212</v>
      </c>
      <c r="C5" s="619" t="s">
        <v>213</v>
      </c>
      <c r="D5" s="620" t="s">
        <v>559</v>
      </c>
      <c r="E5" s="621">
        <f>'0040'!$J$124</f>
        <v>24870.66</v>
      </c>
      <c r="F5" s="622"/>
      <c r="G5" s="621">
        <f>SUBTOTAL(109,E5:F7)</f>
        <v>24870.66</v>
      </c>
      <c r="I5" s="623"/>
    </row>
    <row r="6" spans="1:9" ht="12.75" hidden="1" customHeight="1" x14ac:dyDescent="0.2">
      <c r="A6" s="310"/>
      <c r="B6" s="612"/>
      <c r="C6" s="624"/>
      <c r="D6" s="310"/>
      <c r="E6" s="317"/>
      <c r="F6" s="610"/>
      <c r="G6" s="317"/>
      <c r="I6" s="625"/>
    </row>
    <row r="7" spans="1:9" ht="12.75" hidden="1" customHeight="1" x14ac:dyDescent="0.2">
      <c r="A7" s="310"/>
      <c r="B7" s="612"/>
      <c r="C7" s="624"/>
      <c r="D7" s="310"/>
      <c r="E7" s="317"/>
      <c r="F7" s="610"/>
      <c r="G7" s="317"/>
      <c r="I7" s="626" t="s">
        <v>493</v>
      </c>
    </row>
    <row r="8" spans="1:9" ht="12.75" customHeight="1" x14ac:dyDescent="0.2">
      <c r="A8" s="317">
        <v>2</v>
      </c>
      <c r="B8" s="312" t="s">
        <v>214</v>
      </c>
      <c r="C8" s="627" t="s">
        <v>333</v>
      </c>
      <c r="D8" s="602" t="str">
        <f>D5</f>
        <v>FTE September 2025</v>
      </c>
      <c r="E8" s="628">
        <f>'0100'!$J$124</f>
        <v>22269.68</v>
      </c>
      <c r="F8" s="610"/>
      <c r="G8" s="628">
        <f>SUBTOTAL(109,E8:F10)</f>
        <v>22269.68</v>
      </c>
      <c r="I8" s="629"/>
    </row>
    <row r="9" spans="1:9" ht="12.75" hidden="1" customHeight="1" x14ac:dyDescent="0.2">
      <c r="A9" s="310"/>
      <c r="B9" s="612"/>
      <c r="C9" s="624"/>
      <c r="D9" s="310"/>
      <c r="E9" s="317"/>
      <c r="F9" s="610"/>
      <c r="G9" s="317"/>
      <c r="I9" s="629"/>
    </row>
    <row r="10" spans="1:9" ht="12.75" hidden="1" customHeight="1" x14ac:dyDescent="0.2">
      <c r="A10" s="310"/>
      <c r="B10" s="624"/>
      <c r="C10" s="624"/>
      <c r="D10" s="317"/>
      <c r="E10" s="317"/>
      <c r="F10" s="610"/>
      <c r="G10" s="317"/>
      <c r="I10" s="625"/>
    </row>
    <row r="11" spans="1:9" ht="12.75" hidden="1" customHeight="1" x14ac:dyDescent="0.2">
      <c r="A11" s="310"/>
      <c r="B11" s="624"/>
      <c r="C11" s="624"/>
      <c r="D11" s="317"/>
      <c r="E11" s="317"/>
      <c r="F11" s="610"/>
      <c r="G11" s="317"/>
      <c r="I11" s="630"/>
    </row>
    <row r="12" spans="1:9" s="367" customFormat="1" ht="13.5" customHeight="1" x14ac:dyDescent="0.2">
      <c r="A12" s="617">
        <v>3</v>
      </c>
      <c r="B12" s="631" t="s">
        <v>216</v>
      </c>
      <c r="C12" s="632" t="s">
        <v>217</v>
      </c>
      <c r="D12" s="633" t="s">
        <v>559</v>
      </c>
      <c r="E12" s="621">
        <f>'1461'!$J$124</f>
        <v>530655.23</v>
      </c>
      <c r="F12" s="634"/>
      <c r="G12" s="621">
        <f>SUBTOTAL(109,E12:F36)</f>
        <v>530204.63</v>
      </c>
      <c r="H12" s="635"/>
      <c r="I12" s="630"/>
    </row>
    <row r="13" spans="1:9" s="367" customFormat="1" ht="12.75" hidden="1" customHeight="1" x14ac:dyDescent="0.2">
      <c r="A13" s="617"/>
      <c r="B13" s="631"/>
      <c r="C13" s="632"/>
      <c r="D13" s="636" t="s">
        <v>494</v>
      </c>
      <c r="E13" s="621"/>
      <c r="F13" s="634"/>
      <c r="G13" s="621"/>
      <c r="H13" s="635"/>
      <c r="I13" s="626" t="s">
        <v>493</v>
      </c>
    </row>
    <row r="14" spans="1:9" s="367" customFormat="1" ht="12.75" hidden="1" customHeight="1" x14ac:dyDescent="0.2">
      <c r="A14" s="617"/>
      <c r="B14" s="631"/>
      <c r="C14" s="632"/>
      <c r="D14" s="637" t="s">
        <v>495</v>
      </c>
      <c r="E14" s="621"/>
      <c r="F14" s="634"/>
      <c r="G14" s="621"/>
      <c r="H14" s="635"/>
      <c r="I14" s="626"/>
    </row>
    <row r="15" spans="1:9" s="367" customFormat="1" ht="12.75" hidden="1" customHeight="1" x14ac:dyDescent="0.2">
      <c r="A15" s="617"/>
      <c r="B15" s="631"/>
      <c r="C15" s="632"/>
      <c r="D15" s="636" t="s">
        <v>496</v>
      </c>
      <c r="E15" s="621"/>
      <c r="F15" s="634"/>
      <c r="G15" s="621"/>
      <c r="H15" s="635"/>
      <c r="I15" s="626"/>
    </row>
    <row r="16" spans="1:9" s="367" customFormat="1" ht="12.75" hidden="1" customHeight="1" thickBot="1" x14ac:dyDescent="0.25">
      <c r="A16" s="617"/>
      <c r="B16" s="631"/>
      <c r="C16" s="632"/>
      <c r="D16" s="636" t="s">
        <v>497</v>
      </c>
      <c r="E16" s="621"/>
      <c r="F16" s="634"/>
      <c r="G16" s="621"/>
      <c r="H16" s="635"/>
      <c r="I16" s="638"/>
    </row>
    <row r="17" spans="1:9" s="367" customFormat="1" ht="12.75" hidden="1" customHeight="1" x14ac:dyDescent="0.2">
      <c r="A17" s="617"/>
      <c r="B17" s="631"/>
      <c r="C17" s="632"/>
      <c r="D17" s="636" t="s">
        <v>498</v>
      </c>
      <c r="E17" s="621"/>
      <c r="F17" s="634"/>
      <c r="G17" s="621"/>
      <c r="H17" s="635"/>
      <c r="I17" s="625"/>
    </row>
    <row r="18" spans="1:9" s="367" customFormat="1" ht="12.75" hidden="1" customHeight="1" x14ac:dyDescent="0.2">
      <c r="A18" s="617"/>
      <c r="B18" s="631"/>
      <c r="C18" s="632"/>
      <c r="D18" s="636" t="s">
        <v>499</v>
      </c>
      <c r="E18" s="621"/>
      <c r="F18" s="634"/>
      <c r="G18" s="621"/>
      <c r="H18" s="635"/>
      <c r="I18" s="630"/>
    </row>
    <row r="19" spans="1:9" s="367" customFormat="1" ht="12.75" customHeight="1" thickBot="1" x14ac:dyDescent="0.25">
      <c r="A19" s="617"/>
      <c r="B19" s="631"/>
      <c r="C19" s="639"/>
      <c r="D19" s="640" t="s">
        <v>500</v>
      </c>
      <c r="E19" s="621"/>
      <c r="F19" s="634"/>
      <c r="G19" s="621"/>
      <c r="H19" s="635"/>
      <c r="I19" s="641"/>
    </row>
    <row r="20" spans="1:9" s="367" customFormat="1" ht="12.75" customHeight="1" x14ac:dyDescent="0.2">
      <c r="A20" s="617"/>
      <c r="B20" s="631"/>
      <c r="C20" s="639"/>
      <c r="D20" s="640" t="s">
        <v>501</v>
      </c>
      <c r="E20" s="621"/>
      <c r="F20" s="634">
        <v>0</v>
      </c>
      <c r="G20" s="621"/>
      <c r="H20" s="635"/>
    </row>
    <row r="21" spans="1:9" s="367" customFormat="1" ht="12.75" customHeight="1" x14ac:dyDescent="0.2">
      <c r="A21" s="617"/>
      <c r="B21" s="631"/>
      <c r="C21" s="639"/>
      <c r="D21" s="640" t="s">
        <v>502</v>
      </c>
      <c r="E21" s="621"/>
      <c r="F21" s="634">
        <v>-266.12</v>
      </c>
      <c r="G21" s="621"/>
      <c r="H21" s="635"/>
      <c r="I21" s="642"/>
    </row>
    <row r="22" spans="1:9" s="367" customFormat="1" ht="12.75" customHeight="1" x14ac:dyDescent="0.2">
      <c r="A22" s="617"/>
      <c r="B22" s="631"/>
      <c r="C22" s="639"/>
      <c r="D22" s="643" t="s">
        <v>503</v>
      </c>
      <c r="E22" s="621"/>
      <c r="F22" s="634">
        <v>-94.48</v>
      </c>
      <c r="G22" s="621"/>
      <c r="H22" s="635"/>
      <c r="I22" s="642"/>
    </row>
    <row r="23" spans="1:9" s="367" customFormat="1" ht="12.75" customHeight="1" x14ac:dyDescent="0.2">
      <c r="A23" s="617"/>
      <c r="B23" s="631"/>
      <c r="C23" s="639"/>
      <c r="D23" s="640" t="s">
        <v>504</v>
      </c>
      <c r="E23" s="621"/>
      <c r="F23" s="634">
        <v>-90</v>
      </c>
      <c r="G23" s="621"/>
      <c r="H23" s="635"/>
      <c r="I23" s="644"/>
    </row>
    <row r="24" spans="1:9" s="367" customFormat="1" ht="12.75" hidden="1" customHeight="1" x14ac:dyDescent="0.2">
      <c r="A24" s="617"/>
      <c r="B24" s="631"/>
      <c r="C24" s="645" t="s">
        <v>505</v>
      </c>
      <c r="D24" s="643" t="s">
        <v>506</v>
      </c>
      <c r="E24" s="621"/>
      <c r="F24" s="634"/>
      <c r="G24" s="621"/>
      <c r="H24" s="635"/>
      <c r="I24" s="644"/>
    </row>
    <row r="25" spans="1:9" s="367" customFormat="1" ht="12.75" hidden="1" customHeight="1" x14ac:dyDescent="0.2">
      <c r="A25" s="617"/>
      <c r="B25" s="631"/>
      <c r="C25" s="639"/>
      <c r="D25" s="643" t="s">
        <v>507</v>
      </c>
      <c r="E25" s="621"/>
      <c r="F25" s="634"/>
      <c r="G25" s="621"/>
      <c r="H25" s="635"/>
      <c r="I25" s="646"/>
    </row>
    <row r="26" spans="1:9" s="367" customFormat="1" ht="12.75" hidden="1" customHeight="1" x14ac:dyDescent="0.2">
      <c r="A26" s="617"/>
      <c r="B26" s="631"/>
      <c r="C26" s="639"/>
      <c r="D26" s="643"/>
      <c r="E26" s="621"/>
      <c r="F26" s="634"/>
      <c r="G26" s="621"/>
      <c r="H26" s="635"/>
      <c r="I26" s="646"/>
    </row>
    <row r="27" spans="1:9" s="367" customFormat="1" ht="12.75" hidden="1" customHeight="1" x14ac:dyDescent="0.2">
      <c r="A27" s="617"/>
      <c r="B27" s="631"/>
      <c r="C27" s="639"/>
      <c r="D27" s="643"/>
      <c r="E27" s="621"/>
      <c r="F27" s="634"/>
      <c r="G27" s="621"/>
      <c r="H27" s="635"/>
      <c r="I27" s="646"/>
    </row>
    <row r="28" spans="1:9" s="367" customFormat="1" ht="12.75" hidden="1" customHeight="1" x14ac:dyDescent="0.2">
      <c r="A28" s="617"/>
      <c r="B28" s="631"/>
      <c r="C28" s="639"/>
      <c r="D28" s="643" t="s">
        <v>508</v>
      </c>
      <c r="E28" s="621"/>
      <c r="F28" s="634"/>
      <c r="G28" s="621"/>
      <c r="H28" s="635"/>
      <c r="I28" s="647"/>
    </row>
    <row r="29" spans="1:9" s="367" customFormat="1" ht="12.75" hidden="1" customHeight="1" x14ac:dyDescent="0.2">
      <c r="A29" s="617"/>
      <c r="B29" s="631"/>
      <c r="C29" s="639"/>
      <c r="D29" s="643" t="s">
        <v>509</v>
      </c>
      <c r="E29" s="621"/>
      <c r="F29" s="634"/>
      <c r="G29" s="621"/>
      <c r="H29" s="635"/>
      <c r="I29" s="642"/>
    </row>
    <row r="30" spans="1:9" s="367" customFormat="1" ht="12.75" hidden="1" customHeight="1" x14ac:dyDescent="0.2">
      <c r="A30" s="617"/>
      <c r="B30" s="631"/>
      <c r="C30" s="639"/>
      <c r="D30" s="643" t="s">
        <v>510</v>
      </c>
      <c r="E30" s="621"/>
      <c r="F30" s="634"/>
      <c r="G30" s="621"/>
      <c r="H30" s="635"/>
      <c r="I30" s="647"/>
    </row>
    <row r="31" spans="1:9" s="367" customFormat="1" ht="12.75" hidden="1" customHeight="1" x14ac:dyDescent="0.2">
      <c r="A31" s="617"/>
      <c r="B31" s="631"/>
      <c r="C31" s="639"/>
      <c r="D31" s="643" t="s">
        <v>511</v>
      </c>
      <c r="E31" s="621"/>
      <c r="F31" s="634"/>
      <c r="G31" s="621"/>
      <c r="H31" s="635"/>
      <c r="I31" s="642"/>
    </row>
    <row r="32" spans="1:9" s="367" customFormat="1" ht="12.75" hidden="1" customHeight="1" x14ac:dyDescent="0.2">
      <c r="A32" s="617"/>
      <c r="B32" s="631"/>
      <c r="C32" s="639"/>
      <c r="D32" s="643"/>
      <c r="E32" s="621"/>
      <c r="F32" s="634"/>
      <c r="G32" s="621"/>
      <c r="H32" s="635"/>
    </row>
    <row r="33" spans="1:12" s="367" customFormat="1" ht="12.75" hidden="1" customHeight="1" x14ac:dyDescent="0.2">
      <c r="A33" s="617"/>
      <c r="B33" s="631"/>
      <c r="C33" s="639"/>
      <c r="D33" s="643"/>
      <c r="E33" s="621"/>
      <c r="F33" s="634"/>
      <c r="G33" s="621"/>
      <c r="H33" s="635"/>
      <c r="I33" s="642"/>
    </row>
    <row r="34" spans="1:12" s="367" customFormat="1" ht="12.75" hidden="1" customHeight="1" x14ac:dyDescent="0.2">
      <c r="A34" s="617"/>
      <c r="B34" s="631"/>
      <c r="C34" s="639"/>
      <c r="D34" s="643" t="s">
        <v>512</v>
      </c>
      <c r="E34" s="621"/>
      <c r="F34" s="634"/>
      <c r="G34" s="621"/>
      <c r="H34" s="635"/>
      <c r="I34" s="642"/>
    </row>
    <row r="35" spans="1:12" s="367" customFormat="1" ht="12.75" hidden="1" customHeight="1" x14ac:dyDescent="0.2">
      <c r="A35" s="617"/>
      <c r="B35" s="631"/>
      <c r="C35" s="639"/>
      <c r="D35" s="643" t="s">
        <v>513</v>
      </c>
      <c r="E35" s="621"/>
      <c r="F35" s="634"/>
      <c r="G35" s="621"/>
      <c r="H35" s="635"/>
      <c r="I35" s="642"/>
    </row>
    <row r="36" spans="1:12" s="367" customFormat="1" ht="12.75" hidden="1" customHeight="1" x14ac:dyDescent="0.2">
      <c r="A36" s="617"/>
      <c r="B36" s="631"/>
      <c r="C36" s="639"/>
      <c r="D36" s="643" t="s">
        <v>514</v>
      </c>
      <c r="E36" s="621"/>
      <c r="F36" s="634"/>
      <c r="G36" s="621"/>
      <c r="H36" s="635"/>
      <c r="I36" s="648"/>
    </row>
    <row r="37" spans="1:12" s="367" customFormat="1" ht="12.75" customHeight="1" x14ac:dyDescent="0.2">
      <c r="A37" s="317">
        <f>1+A12</f>
        <v>4</v>
      </c>
      <c r="B37" s="649" t="s">
        <v>218</v>
      </c>
      <c r="C37" s="650" t="s">
        <v>219</v>
      </c>
      <c r="D37" s="651" t="str">
        <f>$D$12</f>
        <v>FTE September 2025</v>
      </c>
      <c r="E37" s="628">
        <f>'1571'!$J$124</f>
        <v>876352.53</v>
      </c>
      <c r="F37" s="652"/>
      <c r="G37" s="628">
        <f>SUBTOTAL(109,E37:F52)</f>
        <v>876012.41</v>
      </c>
      <c r="H37" s="635"/>
      <c r="I37" s="644"/>
    </row>
    <row r="38" spans="1:12" s="367" customFormat="1" ht="12.75" hidden="1" customHeight="1" x14ac:dyDescent="0.2">
      <c r="A38" s="317"/>
      <c r="B38" s="649"/>
      <c r="C38" s="653"/>
      <c r="D38" s="311" t="s">
        <v>494</v>
      </c>
      <c r="E38" s="628"/>
      <c r="F38" s="652"/>
      <c r="G38" s="628"/>
      <c r="H38" s="635"/>
      <c r="I38" s="644"/>
    </row>
    <row r="39" spans="1:12" s="367" customFormat="1" ht="12.75" hidden="1" customHeight="1" x14ac:dyDescent="0.2">
      <c r="A39" s="317"/>
      <c r="B39" s="649"/>
      <c r="C39" s="650"/>
      <c r="D39" s="654" t="s">
        <v>495</v>
      </c>
      <c r="E39" s="628"/>
      <c r="F39" s="652"/>
      <c r="G39" s="628"/>
      <c r="H39" s="635"/>
      <c r="I39" s="644"/>
    </row>
    <row r="40" spans="1:12" s="367" customFormat="1" ht="12.75" hidden="1" customHeight="1" x14ac:dyDescent="0.2">
      <c r="A40" s="317"/>
      <c r="B40" s="649"/>
      <c r="C40" s="655"/>
      <c r="D40" s="654" t="s">
        <v>515</v>
      </c>
      <c r="E40" s="628"/>
      <c r="F40" s="652"/>
      <c r="G40" s="628"/>
      <c r="H40" s="635"/>
      <c r="I40" s="644"/>
    </row>
    <row r="41" spans="1:12" s="367" customFormat="1" ht="12.75" hidden="1" customHeight="1" x14ac:dyDescent="0.2">
      <c r="A41" s="317"/>
      <c r="B41" s="649"/>
      <c r="C41" s="650"/>
      <c r="D41" s="311" t="s">
        <v>496</v>
      </c>
      <c r="E41" s="628"/>
      <c r="F41" s="652"/>
      <c r="G41" s="628"/>
      <c r="H41" s="635"/>
      <c r="I41" s="644"/>
      <c r="L41" s="656">
        <v>44630</v>
      </c>
    </row>
    <row r="42" spans="1:12" s="367" customFormat="1" ht="12.75" hidden="1" customHeight="1" x14ac:dyDescent="0.2">
      <c r="A42" s="317"/>
      <c r="B42" s="649"/>
      <c r="C42" s="650"/>
      <c r="D42" s="311" t="s">
        <v>497</v>
      </c>
      <c r="E42" s="628"/>
      <c r="F42" s="652"/>
      <c r="G42" s="628"/>
      <c r="H42" s="635"/>
      <c r="I42" s="644"/>
      <c r="L42" s="656">
        <f>L41-60</f>
        <v>44570</v>
      </c>
    </row>
    <row r="43" spans="1:12" s="367" customFormat="1" ht="12.75" hidden="1" customHeight="1" x14ac:dyDescent="0.2">
      <c r="A43" s="317"/>
      <c r="B43" s="649"/>
      <c r="C43" s="650"/>
      <c r="D43" s="311" t="s">
        <v>498</v>
      </c>
      <c r="E43" s="628"/>
      <c r="F43" s="652"/>
      <c r="G43" s="628"/>
      <c r="H43" s="635"/>
      <c r="I43" s="644"/>
    </row>
    <row r="44" spans="1:12" s="367" customFormat="1" ht="12.75" hidden="1" customHeight="1" x14ac:dyDescent="0.2">
      <c r="A44" s="317"/>
      <c r="B44" s="649"/>
      <c r="C44" s="650"/>
      <c r="D44" s="311" t="s">
        <v>499</v>
      </c>
      <c r="E44" s="628"/>
      <c r="F44" s="652"/>
      <c r="G44" s="628"/>
      <c r="H44" s="635"/>
      <c r="I44" s="644"/>
    </row>
    <row r="45" spans="1:12" s="367" customFormat="1" ht="12.75" hidden="1" customHeight="1" x14ac:dyDescent="0.2">
      <c r="A45" s="317"/>
      <c r="B45" s="649"/>
      <c r="C45" s="657"/>
      <c r="D45" s="658" t="s">
        <v>501</v>
      </c>
      <c r="E45" s="628"/>
      <c r="F45" s="652">
        <v>0</v>
      </c>
      <c r="G45" s="628"/>
      <c r="H45" s="635"/>
      <c r="I45" s="644"/>
    </row>
    <row r="46" spans="1:12" s="367" customFormat="1" ht="12.75" customHeight="1" x14ac:dyDescent="0.2">
      <c r="A46" s="317"/>
      <c r="B46" s="649"/>
      <c r="C46" s="657"/>
      <c r="D46" s="658" t="s">
        <v>502</v>
      </c>
      <c r="E46" s="628"/>
      <c r="F46" s="652">
        <v>-155.63999999999999</v>
      </c>
      <c r="G46" s="628"/>
      <c r="H46" s="635"/>
      <c r="I46" s="642"/>
    </row>
    <row r="47" spans="1:12" s="367" customFormat="1" ht="12.75" customHeight="1" x14ac:dyDescent="0.2">
      <c r="A47" s="317"/>
      <c r="B47" s="649"/>
      <c r="C47" s="657"/>
      <c r="D47" s="658" t="s">
        <v>503</v>
      </c>
      <c r="E47" s="628"/>
      <c r="F47" s="652">
        <v>-94.48</v>
      </c>
      <c r="G47" s="628"/>
      <c r="H47" s="635"/>
      <c r="I47" s="642"/>
    </row>
    <row r="48" spans="1:12" s="367" customFormat="1" ht="12.75" customHeight="1" x14ac:dyDescent="0.2">
      <c r="A48" s="317"/>
      <c r="B48" s="649"/>
      <c r="C48" s="657"/>
      <c r="D48" s="658" t="s">
        <v>504</v>
      </c>
      <c r="E48" s="628"/>
      <c r="F48" s="652">
        <v>-90</v>
      </c>
      <c r="G48" s="628"/>
      <c r="H48" s="635"/>
      <c r="I48" s="642"/>
    </row>
    <row r="49" spans="1:13" s="367" customFormat="1" ht="12.75" hidden="1" customHeight="1" x14ac:dyDescent="0.2">
      <c r="A49" s="317"/>
      <c r="B49" s="649"/>
      <c r="C49" s="659"/>
      <c r="D49" s="660" t="s">
        <v>516</v>
      </c>
      <c r="E49" s="628"/>
      <c r="F49" s="652"/>
      <c r="G49" s="628"/>
      <c r="H49" s="661"/>
      <c r="I49" s="642"/>
    </row>
    <row r="50" spans="1:13" s="367" customFormat="1" ht="12.75" customHeight="1" x14ac:dyDescent="0.2">
      <c r="A50" s="317"/>
      <c r="B50" s="649"/>
      <c r="C50" s="657"/>
      <c r="D50" s="660" t="s">
        <v>517</v>
      </c>
      <c r="E50" s="628"/>
      <c r="F50" s="652"/>
      <c r="G50" s="628"/>
      <c r="H50" s="635"/>
      <c r="I50" s="642"/>
    </row>
    <row r="51" spans="1:13" s="367" customFormat="1" ht="12.75" customHeight="1" x14ac:dyDescent="0.2">
      <c r="A51" s="317"/>
      <c r="B51" s="649"/>
      <c r="C51" s="657"/>
      <c r="D51" s="658" t="s">
        <v>517</v>
      </c>
      <c r="E51" s="628"/>
      <c r="F51" s="652"/>
      <c r="G51" s="628"/>
      <c r="H51" s="635"/>
      <c r="I51" s="642"/>
    </row>
    <row r="52" spans="1:13" s="367" customFormat="1" ht="12.75" hidden="1" customHeight="1" x14ac:dyDescent="0.2">
      <c r="A52" s="317"/>
      <c r="B52" s="649"/>
      <c r="C52" s="657"/>
      <c r="D52" s="658" t="s">
        <v>518</v>
      </c>
      <c r="E52" s="628"/>
      <c r="F52" s="652"/>
      <c r="G52" s="628"/>
      <c r="H52" s="635"/>
      <c r="I52" s="642"/>
    </row>
    <row r="53" spans="1:13" s="367" customFormat="1" ht="12.75" customHeight="1" x14ac:dyDescent="0.2">
      <c r="A53" s="617">
        <f>1+A37</f>
        <v>5</v>
      </c>
      <c r="B53" s="631" t="s">
        <v>220</v>
      </c>
      <c r="C53" s="632" t="s">
        <v>221</v>
      </c>
      <c r="D53" s="662" t="str">
        <f>$D$12</f>
        <v>FTE September 2025</v>
      </c>
      <c r="E53" s="621">
        <f>'2521'!$J$124</f>
        <v>112694.39999999999</v>
      </c>
      <c r="F53" s="634"/>
      <c r="G53" s="621">
        <f>SUBTOTAL(109,E53:F59)</f>
        <v>112694.39999999999</v>
      </c>
      <c r="H53" s="635"/>
      <c r="I53" s="642"/>
    </row>
    <row r="54" spans="1:13" s="367" customFormat="1" ht="12.75" hidden="1" customHeight="1" x14ac:dyDescent="0.2">
      <c r="A54" s="617"/>
      <c r="B54" s="631"/>
      <c r="C54" s="632"/>
      <c r="D54" s="636" t="s">
        <v>494</v>
      </c>
      <c r="E54" s="621"/>
      <c r="F54" s="634"/>
      <c r="G54" s="621"/>
      <c r="H54" s="635"/>
      <c r="I54" s="642"/>
    </row>
    <row r="55" spans="1:13" s="367" customFormat="1" ht="12.75" hidden="1" customHeight="1" x14ac:dyDescent="0.2">
      <c r="A55" s="617"/>
      <c r="B55" s="631"/>
      <c r="C55" s="632"/>
      <c r="D55" s="636" t="s">
        <v>496</v>
      </c>
      <c r="E55" s="621"/>
      <c r="F55" s="634"/>
      <c r="G55" s="621"/>
      <c r="H55" s="635"/>
      <c r="I55" s="642"/>
    </row>
    <row r="56" spans="1:13" s="367" customFormat="1" ht="12.75" hidden="1" customHeight="1" x14ac:dyDescent="0.2">
      <c r="A56" s="617"/>
      <c r="B56" s="631"/>
      <c r="C56" s="632"/>
      <c r="D56" s="636" t="s">
        <v>497</v>
      </c>
      <c r="E56" s="621"/>
      <c r="F56" s="634"/>
      <c r="G56" s="621"/>
      <c r="H56" s="635"/>
      <c r="I56" s="642"/>
    </row>
    <row r="57" spans="1:13" s="367" customFormat="1" ht="12.75" hidden="1" customHeight="1" x14ac:dyDescent="0.2">
      <c r="A57" s="617"/>
      <c r="B57" s="631"/>
      <c r="C57" s="632"/>
      <c r="D57" s="636" t="s">
        <v>498</v>
      </c>
      <c r="E57" s="621"/>
      <c r="F57" s="634"/>
      <c r="G57" s="621"/>
      <c r="H57" s="635"/>
      <c r="I57" s="642"/>
      <c r="M57" s="656"/>
    </row>
    <row r="58" spans="1:13" ht="12.75" hidden="1" customHeight="1" x14ac:dyDescent="0.2">
      <c r="A58" s="617"/>
      <c r="B58" s="631"/>
      <c r="C58" s="632"/>
      <c r="D58" s="636" t="s">
        <v>499</v>
      </c>
      <c r="E58" s="621"/>
      <c r="F58" s="634"/>
      <c r="G58" s="621"/>
      <c r="I58" s="642"/>
      <c r="M58" s="313"/>
    </row>
    <row r="59" spans="1:13" ht="12.75" hidden="1" customHeight="1" x14ac:dyDescent="0.2">
      <c r="A59" s="617"/>
      <c r="B59" s="631"/>
      <c r="C59" s="632"/>
      <c r="D59" s="643" t="s">
        <v>517</v>
      </c>
      <c r="E59" s="621"/>
      <c r="F59" s="634"/>
      <c r="G59" s="621"/>
      <c r="I59" s="642"/>
      <c r="L59" s="313"/>
    </row>
    <row r="60" spans="1:13" s="367" customFormat="1" ht="12.75" customHeight="1" x14ac:dyDescent="0.2">
      <c r="A60" s="317">
        <f>1+A53</f>
        <v>6</v>
      </c>
      <c r="B60" s="649">
        <v>2531</v>
      </c>
      <c r="C60" s="650" t="s">
        <v>223</v>
      </c>
      <c r="D60" s="651" t="str">
        <f>$D$12</f>
        <v>FTE September 2025</v>
      </c>
      <c r="E60" s="628">
        <f>'2531'!$J$124</f>
        <v>132295.12</v>
      </c>
      <c r="F60" s="652"/>
      <c r="G60" s="628">
        <f>SUBTOTAL(109,E60:F71)</f>
        <v>132295.12</v>
      </c>
      <c r="H60" s="661"/>
      <c r="I60" s="642"/>
    </row>
    <row r="61" spans="1:13" ht="12.75" hidden="1" customHeight="1" x14ac:dyDescent="0.2">
      <c r="A61" s="317"/>
      <c r="B61" s="649"/>
      <c r="C61" s="650"/>
      <c r="D61" s="311" t="s">
        <v>519</v>
      </c>
      <c r="E61" s="628"/>
      <c r="F61" s="652"/>
      <c r="G61" s="628"/>
      <c r="I61" s="642"/>
    </row>
    <row r="62" spans="1:13" ht="12.75" hidden="1" customHeight="1" x14ac:dyDescent="0.2">
      <c r="A62" s="317"/>
      <c r="B62" s="649"/>
      <c r="C62" s="650"/>
      <c r="D62" s="311" t="s">
        <v>494</v>
      </c>
      <c r="E62" s="628"/>
      <c r="F62" s="652"/>
      <c r="G62" s="628"/>
      <c r="I62" s="642"/>
    </row>
    <row r="63" spans="1:13" s="367" customFormat="1" ht="12.75" hidden="1" customHeight="1" x14ac:dyDescent="0.2">
      <c r="A63" s="317"/>
      <c r="B63" s="649"/>
      <c r="C63" s="650"/>
      <c r="D63" s="311" t="s">
        <v>520</v>
      </c>
      <c r="E63" s="628"/>
      <c r="F63" s="652"/>
      <c r="G63" s="628"/>
      <c r="H63" s="635"/>
      <c r="I63" s="647"/>
    </row>
    <row r="64" spans="1:13" s="367" customFormat="1" ht="12.75" hidden="1" customHeight="1" x14ac:dyDescent="0.2">
      <c r="A64" s="317"/>
      <c r="B64" s="649"/>
      <c r="C64" s="650"/>
      <c r="D64" s="654" t="s">
        <v>515</v>
      </c>
      <c r="E64" s="628"/>
      <c r="F64" s="652"/>
      <c r="G64" s="628"/>
      <c r="H64" s="635"/>
      <c r="I64" s="649"/>
    </row>
    <row r="65" spans="1:9" s="367" customFormat="1" ht="12.75" hidden="1" customHeight="1" x14ac:dyDescent="0.2">
      <c r="A65" s="317"/>
      <c r="B65" s="649"/>
      <c r="C65" s="650"/>
      <c r="D65" s="311" t="s">
        <v>496</v>
      </c>
      <c r="E65" s="628"/>
      <c r="F65" s="652"/>
      <c r="G65" s="628"/>
      <c r="H65" s="635"/>
      <c r="I65" s="649"/>
    </row>
    <row r="66" spans="1:9" s="367" customFormat="1" ht="12.75" hidden="1" customHeight="1" x14ac:dyDescent="0.2">
      <c r="A66" s="317"/>
      <c r="B66" s="649"/>
      <c r="C66" s="650"/>
      <c r="D66" s="311" t="s">
        <v>497</v>
      </c>
      <c r="E66" s="628"/>
      <c r="F66" s="652"/>
      <c r="G66" s="628"/>
      <c r="H66" s="635"/>
      <c r="I66" s="649"/>
    </row>
    <row r="67" spans="1:9" s="367" customFormat="1" ht="12.75" hidden="1" customHeight="1" x14ac:dyDescent="0.2">
      <c r="A67" s="317"/>
      <c r="B67" s="649"/>
      <c r="C67" s="650"/>
      <c r="D67" s="311" t="s">
        <v>498</v>
      </c>
      <c r="E67" s="628"/>
      <c r="F67" s="652"/>
      <c r="G67" s="628"/>
      <c r="H67" s="661"/>
      <c r="I67" s="647"/>
    </row>
    <row r="68" spans="1:9" s="367" customFormat="1" ht="12.75" hidden="1" customHeight="1" x14ac:dyDescent="0.2">
      <c r="A68" s="317"/>
      <c r="B68" s="649"/>
      <c r="C68" s="650"/>
      <c r="D68" s="311" t="s">
        <v>499</v>
      </c>
      <c r="E68" s="628"/>
      <c r="F68" s="652"/>
      <c r="G68" s="628"/>
      <c r="H68" s="635"/>
      <c r="I68" s="647"/>
    </row>
    <row r="69" spans="1:9" s="367" customFormat="1" ht="12.75" hidden="1" customHeight="1" x14ac:dyDescent="0.2">
      <c r="A69" s="317"/>
      <c r="B69" s="649"/>
      <c r="C69" s="650"/>
      <c r="D69" s="311" t="s">
        <v>521</v>
      </c>
      <c r="E69" s="628"/>
      <c r="F69" s="652"/>
      <c r="G69" s="628"/>
      <c r="H69" s="635"/>
      <c r="I69" s="647"/>
    </row>
    <row r="70" spans="1:9" s="367" customFormat="1" ht="12.75" hidden="1" customHeight="1" x14ac:dyDescent="0.2">
      <c r="A70" s="317"/>
      <c r="B70" s="649"/>
      <c r="C70" s="657"/>
      <c r="D70" s="660" t="s">
        <v>507</v>
      </c>
      <c r="E70" s="628"/>
      <c r="F70" s="652"/>
      <c r="G70" s="628"/>
      <c r="H70" s="635"/>
      <c r="I70" s="642"/>
    </row>
    <row r="71" spans="1:9" s="367" customFormat="1" ht="12.75" hidden="1" customHeight="1" x14ac:dyDescent="0.2">
      <c r="A71" s="317"/>
      <c r="B71" s="649"/>
      <c r="C71" s="650"/>
      <c r="D71" s="658" t="s">
        <v>517</v>
      </c>
      <c r="E71" s="628"/>
      <c r="F71" s="652"/>
      <c r="G71" s="628"/>
      <c r="H71" s="635"/>
      <c r="I71" s="657"/>
    </row>
    <row r="72" spans="1:9" s="367" customFormat="1" ht="12.75" customHeight="1" x14ac:dyDescent="0.2">
      <c r="A72" s="617">
        <f>1+A60</f>
        <v>7</v>
      </c>
      <c r="B72" s="631" t="s">
        <v>224</v>
      </c>
      <c r="C72" s="663" t="s">
        <v>306</v>
      </c>
      <c r="D72" s="662" t="str">
        <f>$D$12</f>
        <v>FTE September 2025</v>
      </c>
      <c r="E72" s="621">
        <f>'2791'!$J$124</f>
        <v>446019.95</v>
      </c>
      <c r="F72" s="634"/>
      <c r="G72" s="621">
        <f>SUBTOTAL(109,E72:F79)</f>
        <v>446019.95</v>
      </c>
      <c r="H72" s="661"/>
      <c r="I72" s="644"/>
    </row>
    <row r="73" spans="1:9" s="367" customFormat="1" ht="12.75" hidden="1" customHeight="1" x14ac:dyDescent="0.2">
      <c r="A73" s="617"/>
      <c r="B73" s="631"/>
      <c r="C73" s="632"/>
      <c r="D73" s="636" t="s">
        <v>494</v>
      </c>
      <c r="E73" s="621"/>
      <c r="F73" s="634"/>
      <c r="G73" s="621"/>
      <c r="H73" s="635"/>
      <c r="I73" s="657"/>
    </row>
    <row r="74" spans="1:9" s="367" customFormat="1" ht="12.75" hidden="1" customHeight="1" x14ac:dyDescent="0.2">
      <c r="A74" s="617"/>
      <c r="B74" s="631"/>
      <c r="C74" s="632"/>
      <c r="D74" s="637" t="s">
        <v>495</v>
      </c>
      <c r="E74" s="621"/>
      <c r="F74" s="634"/>
      <c r="G74" s="621"/>
      <c r="H74" s="635"/>
      <c r="I74" s="657"/>
    </row>
    <row r="75" spans="1:9" s="367" customFormat="1" ht="12.75" hidden="1" customHeight="1" x14ac:dyDescent="0.2">
      <c r="A75" s="617"/>
      <c r="B75" s="631"/>
      <c r="C75" s="632"/>
      <c r="D75" s="636" t="s">
        <v>496</v>
      </c>
      <c r="E75" s="621"/>
      <c r="F75" s="634"/>
      <c r="G75" s="621"/>
      <c r="H75" s="635"/>
      <c r="I75" s="657"/>
    </row>
    <row r="76" spans="1:9" s="367" customFormat="1" ht="12.75" hidden="1" customHeight="1" x14ac:dyDescent="0.2">
      <c r="A76" s="617"/>
      <c r="B76" s="631"/>
      <c r="C76" s="632"/>
      <c r="D76" s="636" t="s">
        <v>497</v>
      </c>
      <c r="E76" s="621"/>
      <c r="F76" s="634"/>
      <c r="G76" s="621"/>
      <c r="H76" s="635"/>
      <c r="I76" s="657"/>
    </row>
    <row r="77" spans="1:9" s="367" customFormat="1" ht="12.75" hidden="1" customHeight="1" x14ac:dyDescent="0.2">
      <c r="A77" s="617"/>
      <c r="B77" s="631"/>
      <c r="C77" s="632"/>
      <c r="D77" s="636"/>
      <c r="E77" s="621"/>
      <c r="F77" s="634"/>
      <c r="G77" s="621"/>
      <c r="H77" s="635"/>
      <c r="I77" s="642"/>
    </row>
    <row r="78" spans="1:9" s="367" customFormat="1" ht="12.75" hidden="1" customHeight="1" x14ac:dyDescent="0.2">
      <c r="A78" s="617"/>
      <c r="B78" s="631"/>
      <c r="C78" s="632"/>
      <c r="D78" s="636" t="s">
        <v>499</v>
      </c>
      <c r="E78" s="621"/>
      <c r="F78" s="634"/>
      <c r="G78" s="621"/>
      <c r="H78" s="635"/>
      <c r="I78" s="642"/>
    </row>
    <row r="79" spans="1:9" s="367" customFormat="1" ht="12.75" hidden="1" customHeight="1" x14ac:dyDescent="0.2">
      <c r="A79" s="617"/>
      <c r="B79" s="631"/>
      <c r="C79" s="632"/>
      <c r="D79" s="643" t="s">
        <v>517</v>
      </c>
      <c r="E79" s="621"/>
      <c r="F79" s="634"/>
      <c r="G79" s="621"/>
      <c r="H79" s="635"/>
      <c r="I79" s="642"/>
    </row>
    <row r="80" spans="1:9" s="367" customFormat="1" ht="12.75" customHeight="1" x14ac:dyDescent="0.2">
      <c r="A80" s="317">
        <f>A72+1</f>
        <v>8</v>
      </c>
      <c r="B80" s="649" t="s">
        <v>226</v>
      </c>
      <c r="C80" s="664" t="s">
        <v>227</v>
      </c>
      <c r="D80" s="651" t="str">
        <f>$D$12</f>
        <v>FTE September 2025</v>
      </c>
      <c r="E80" s="628">
        <f>'2801'!$J$124</f>
        <v>438326.62</v>
      </c>
      <c r="F80" s="652"/>
      <c r="G80" s="628">
        <f>SUBTOTAL(109,E80:F89)</f>
        <v>438326.62</v>
      </c>
      <c r="H80" s="661"/>
      <c r="I80" s="644"/>
    </row>
    <row r="81" spans="1:9" s="367" customFormat="1" ht="12.75" hidden="1" customHeight="1" x14ac:dyDescent="0.2">
      <c r="A81" s="317"/>
      <c r="B81" s="649"/>
      <c r="C81" s="650"/>
      <c r="D81" s="311" t="s">
        <v>519</v>
      </c>
      <c r="E81" s="628"/>
      <c r="F81" s="652"/>
      <c r="G81" s="628"/>
      <c r="H81" s="635"/>
      <c r="I81" s="642"/>
    </row>
    <row r="82" spans="1:9" s="367" customFormat="1" ht="12.75" hidden="1" customHeight="1" x14ac:dyDescent="0.2">
      <c r="A82" s="317"/>
      <c r="B82" s="649"/>
      <c r="C82" s="650"/>
      <c r="D82" s="654" t="s">
        <v>495</v>
      </c>
      <c r="E82" s="628"/>
      <c r="F82" s="652"/>
      <c r="G82" s="628"/>
      <c r="H82" s="661"/>
      <c r="I82" s="647"/>
    </row>
    <row r="83" spans="1:9" s="367" customFormat="1" ht="12.75" hidden="1" customHeight="1" x14ac:dyDescent="0.2">
      <c r="A83" s="317"/>
      <c r="B83" s="649"/>
      <c r="C83" s="650"/>
      <c r="D83" s="311" t="s">
        <v>496</v>
      </c>
      <c r="E83" s="628"/>
      <c r="F83" s="652"/>
      <c r="G83" s="628"/>
      <c r="H83" s="661"/>
      <c r="I83" s="649"/>
    </row>
    <row r="84" spans="1:9" s="367" customFormat="1" ht="12.75" hidden="1" customHeight="1" x14ac:dyDescent="0.2">
      <c r="A84" s="317"/>
      <c r="B84" s="649"/>
      <c r="C84" s="650"/>
      <c r="D84" s="311" t="s">
        <v>522</v>
      </c>
      <c r="E84" s="628"/>
      <c r="F84" s="652"/>
      <c r="G84" s="628"/>
      <c r="H84" s="635"/>
      <c r="I84" s="657"/>
    </row>
    <row r="85" spans="1:9" s="367" customFormat="1" ht="12.75" hidden="1" customHeight="1" x14ac:dyDescent="0.2">
      <c r="A85" s="317"/>
      <c r="B85" s="649"/>
      <c r="C85" s="650"/>
      <c r="D85" s="311" t="s">
        <v>498</v>
      </c>
      <c r="E85" s="628"/>
      <c r="F85" s="652"/>
      <c r="G85" s="628"/>
      <c r="H85" s="661"/>
      <c r="I85" s="649"/>
    </row>
    <row r="86" spans="1:9" s="367" customFormat="1" ht="12.75" hidden="1" customHeight="1" x14ac:dyDescent="0.2">
      <c r="A86" s="317"/>
      <c r="B86" s="649"/>
      <c r="C86" s="650"/>
      <c r="D86" s="311" t="s">
        <v>499</v>
      </c>
      <c r="E86" s="628"/>
      <c r="F86" s="652"/>
      <c r="G86" s="628"/>
      <c r="H86" s="661"/>
      <c r="I86" s="649"/>
    </row>
    <row r="87" spans="1:9" s="367" customFormat="1" ht="12.75" hidden="1" customHeight="1" x14ac:dyDescent="0.2">
      <c r="A87" s="317"/>
      <c r="B87" s="649"/>
      <c r="C87" s="650"/>
      <c r="D87" s="311" t="s">
        <v>523</v>
      </c>
      <c r="E87" s="628"/>
      <c r="F87" s="652"/>
      <c r="G87" s="628"/>
      <c r="H87" s="661"/>
      <c r="I87" s="647"/>
    </row>
    <row r="88" spans="1:9" s="367" customFormat="1" ht="12.75" hidden="1" customHeight="1" x14ac:dyDescent="0.2">
      <c r="A88" s="317"/>
      <c r="B88" s="649"/>
      <c r="C88" s="650"/>
      <c r="D88" s="311" t="s">
        <v>521</v>
      </c>
      <c r="E88" s="628"/>
      <c r="F88" s="652"/>
      <c r="G88" s="628"/>
      <c r="H88" s="635"/>
      <c r="I88" s="647"/>
    </row>
    <row r="89" spans="1:9" s="367" customFormat="1" ht="12.75" hidden="1" customHeight="1" x14ac:dyDescent="0.2">
      <c r="A89" s="317"/>
      <c r="B89" s="649"/>
      <c r="C89" s="650"/>
      <c r="D89" s="658" t="s">
        <v>524</v>
      </c>
      <c r="E89" s="628"/>
      <c r="F89" s="652"/>
      <c r="G89" s="628"/>
      <c r="H89" s="635"/>
      <c r="I89" s="647"/>
    </row>
    <row r="90" spans="1:9" s="367" customFormat="1" ht="12.75" customHeight="1" x14ac:dyDescent="0.2">
      <c r="A90" s="617">
        <f>A80+1</f>
        <v>9</v>
      </c>
      <c r="B90" s="631" t="s">
        <v>228</v>
      </c>
      <c r="C90" s="632" t="s">
        <v>229</v>
      </c>
      <c r="D90" s="662" t="str">
        <f>$D$12</f>
        <v>FTE September 2025</v>
      </c>
      <c r="E90" s="621">
        <f>'2911'!$J$124</f>
        <v>513425.85</v>
      </c>
      <c r="F90" s="634"/>
      <c r="G90" s="621">
        <f>SUBTOTAL(109,E90:F100)</f>
        <v>513425.85</v>
      </c>
      <c r="H90" s="661"/>
      <c r="I90" s="649"/>
    </row>
    <row r="91" spans="1:9" s="367" customFormat="1" ht="12.75" hidden="1" customHeight="1" x14ac:dyDescent="0.2">
      <c r="A91" s="617"/>
      <c r="B91" s="631"/>
      <c r="C91" s="632"/>
      <c r="D91" s="636" t="s">
        <v>494</v>
      </c>
      <c r="E91" s="621"/>
      <c r="F91" s="634"/>
      <c r="G91" s="621"/>
      <c r="H91" s="661"/>
      <c r="I91" s="649"/>
    </row>
    <row r="92" spans="1:9" s="367" customFormat="1" ht="12.75" hidden="1" customHeight="1" x14ac:dyDescent="0.2">
      <c r="A92" s="617"/>
      <c r="B92" s="631"/>
      <c r="C92" s="632"/>
      <c r="D92" s="637" t="s">
        <v>515</v>
      </c>
      <c r="E92" s="621"/>
      <c r="F92" s="634"/>
      <c r="G92" s="621"/>
      <c r="H92" s="635"/>
      <c r="I92" s="657"/>
    </row>
    <row r="93" spans="1:9" s="367" customFormat="1" ht="12.75" hidden="1" customHeight="1" x14ac:dyDescent="0.2">
      <c r="A93" s="617"/>
      <c r="B93" s="631"/>
      <c r="C93" s="632"/>
      <c r="D93" s="636" t="s">
        <v>496</v>
      </c>
      <c r="E93" s="621"/>
      <c r="F93" s="634"/>
      <c r="G93" s="621"/>
      <c r="H93" s="661"/>
      <c r="I93" s="649"/>
    </row>
    <row r="94" spans="1:9" s="367" customFormat="1" ht="12.75" hidden="1" customHeight="1" x14ac:dyDescent="0.2">
      <c r="A94" s="617"/>
      <c r="B94" s="631"/>
      <c r="C94" s="632"/>
      <c r="D94" s="636" t="s">
        <v>497</v>
      </c>
      <c r="E94" s="621"/>
      <c r="F94" s="634"/>
      <c r="G94" s="621"/>
      <c r="H94" s="661"/>
      <c r="I94" s="649"/>
    </row>
    <row r="95" spans="1:9" s="367" customFormat="1" ht="12.75" hidden="1" customHeight="1" x14ac:dyDescent="0.2">
      <c r="A95" s="617"/>
      <c r="B95" s="631"/>
      <c r="C95" s="632"/>
      <c r="D95" s="636" t="s">
        <v>498</v>
      </c>
      <c r="E95" s="621"/>
      <c r="F95" s="634"/>
      <c r="G95" s="621"/>
      <c r="H95" s="661"/>
      <c r="I95" s="649"/>
    </row>
    <row r="96" spans="1:9" s="367" customFormat="1" ht="12.75" hidden="1" customHeight="1" x14ac:dyDescent="0.2">
      <c r="A96" s="617"/>
      <c r="B96" s="631"/>
      <c r="C96" s="632"/>
      <c r="D96" s="636" t="s">
        <v>499</v>
      </c>
      <c r="E96" s="621"/>
      <c r="F96" s="634"/>
      <c r="G96" s="621"/>
      <c r="H96" s="635"/>
      <c r="I96" s="646"/>
    </row>
    <row r="97" spans="1:12" s="367" customFormat="1" ht="12.75" hidden="1" customHeight="1" x14ac:dyDescent="0.2">
      <c r="A97" s="617"/>
      <c r="B97" s="631"/>
      <c r="C97" s="632"/>
      <c r="D97" s="636" t="s">
        <v>523</v>
      </c>
      <c r="E97" s="621"/>
      <c r="F97" s="634"/>
      <c r="G97" s="621"/>
      <c r="H97" s="661"/>
    </row>
    <row r="98" spans="1:12" s="367" customFormat="1" ht="12.75" hidden="1" customHeight="1" x14ac:dyDescent="0.2">
      <c r="A98" s="617"/>
      <c r="B98" s="631"/>
      <c r="C98" s="639"/>
      <c r="D98" s="643" t="s">
        <v>525</v>
      </c>
      <c r="E98" s="621"/>
      <c r="F98" s="634"/>
      <c r="G98" s="621"/>
      <c r="H98" s="661"/>
      <c r="I98" s="649"/>
    </row>
    <row r="99" spans="1:12" s="367" customFormat="1" ht="12.75" hidden="1" customHeight="1" x14ac:dyDescent="0.2">
      <c r="A99" s="617"/>
      <c r="B99" s="631"/>
      <c r="C99" s="639"/>
      <c r="D99" s="643" t="s">
        <v>526</v>
      </c>
      <c r="E99" s="621"/>
      <c r="F99" s="634"/>
      <c r="G99" s="621"/>
      <c r="H99" s="661"/>
      <c r="I99" s="647"/>
    </row>
    <row r="100" spans="1:12" s="367" customFormat="1" ht="12.75" hidden="1" customHeight="1" x14ac:dyDescent="0.2">
      <c r="A100" s="617"/>
      <c r="B100" s="631"/>
      <c r="C100" s="639"/>
      <c r="D100" s="665"/>
      <c r="E100" s="621"/>
      <c r="F100" s="634"/>
      <c r="G100" s="621"/>
      <c r="H100" s="661"/>
      <c r="I100" s="647"/>
    </row>
    <row r="101" spans="1:12" s="367" customFormat="1" ht="12.75" customHeight="1" x14ac:dyDescent="0.2">
      <c r="A101" s="317">
        <f>A90+1</f>
        <v>10</v>
      </c>
      <c r="B101" s="649" t="s">
        <v>230</v>
      </c>
      <c r="C101" s="650" t="s">
        <v>231</v>
      </c>
      <c r="D101" s="651" t="str">
        <f>$D$12</f>
        <v>FTE September 2025</v>
      </c>
      <c r="E101" s="628">
        <f>'2941'!$J$124</f>
        <v>869504.11</v>
      </c>
      <c r="F101" s="652"/>
      <c r="G101" s="628">
        <f>SUBTOTAL(109,E101:F109)</f>
        <v>869504.11</v>
      </c>
      <c r="H101" s="661"/>
      <c r="I101" s="649"/>
    </row>
    <row r="102" spans="1:12" s="367" customFormat="1" ht="12.75" hidden="1" customHeight="1" x14ac:dyDescent="0.2">
      <c r="A102" s="317"/>
      <c r="B102" s="649"/>
      <c r="C102" s="650"/>
      <c r="D102" s="311" t="s">
        <v>519</v>
      </c>
      <c r="E102" s="628"/>
      <c r="F102" s="652"/>
      <c r="G102" s="628"/>
      <c r="H102" s="661"/>
      <c r="I102" s="649"/>
    </row>
    <row r="103" spans="1:12" s="367" customFormat="1" ht="12.75" hidden="1" customHeight="1" x14ac:dyDescent="0.2">
      <c r="A103" s="317"/>
      <c r="B103" s="649"/>
      <c r="C103" s="650"/>
      <c r="D103" s="654" t="s">
        <v>495</v>
      </c>
      <c r="E103" s="628"/>
      <c r="F103" s="652"/>
      <c r="G103" s="628"/>
      <c r="H103" s="635"/>
      <c r="I103" s="657"/>
    </row>
    <row r="104" spans="1:12" s="367" customFormat="1" ht="12.75" hidden="1" customHeight="1" x14ac:dyDescent="0.2">
      <c r="A104" s="317"/>
      <c r="B104" s="649"/>
      <c r="C104" s="650"/>
      <c r="D104" s="311" t="s">
        <v>496</v>
      </c>
      <c r="E104" s="628"/>
      <c r="F104" s="652"/>
      <c r="G104" s="628"/>
      <c r="H104" s="661"/>
      <c r="I104" s="649"/>
    </row>
    <row r="105" spans="1:12" s="367" customFormat="1" ht="12.75" hidden="1" customHeight="1" x14ac:dyDescent="0.2">
      <c r="A105" s="317"/>
      <c r="B105" s="649"/>
      <c r="C105" s="650"/>
      <c r="D105" s="311" t="s">
        <v>497</v>
      </c>
      <c r="E105" s="628"/>
      <c r="F105" s="652"/>
      <c r="G105" s="628"/>
      <c r="H105" s="661"/>
      <c r="I105" s="649"/>
    </row>
    <row r="106" spans="1:12" s="367" customFormat="1" ht="12.75" hidden="1" customHeight="1" x14ac:dyDescent="0.2">
      <c r="A106" s="317"/>
      <c r="B106" s="649"/>
      <c r="C106" s="650"/>
      <c r="D106" s="311" t="s">
        <v>498</v>
      </c>
      <c r="E106" s="628"/>
      <c r="F106" s="652"/>
      <c r="G106" s="628"/>
      <c r="H106" s="661"/>
      <c r="I106" s="649"/>
    </row>
    <row r="107" spans="1:12" s="367" customFormat="1" ht="12.75" hidden="1" customHeight="1" x14ac:dyDescent="0.2">
      <c r="A107" s="317"/>
      <c r="B107" s="649"/>
      <c r="C107" s="650"/>
      <c r="D107" s="654" t="s">
        <v>527</v>
      </c>
      <c r="E107" s="628"/>
      <c r="F107" s="652"/>
      <c r="G107" s="628"/>
      <c r="H107" s="635"/>
      <c r="I107" s="646"/>
    </row>
    <row r="108" spans="1:12" s="367" customFormat="1" ht="12.75" hidden="1" customHeight="1" x14ac:dyDescent="0.2">
      <c r="A108" s="317"/>
      <c r="B108" s="649"/>
      <c r="C108" s="650"/>
      <c r="D108" s="311" t="s">
        <v>521</v>
      </c>
      <c r="E108" s="628"/>
      <c r="F108" s="652"/>
      <c r="G108" s="628"/>
      <c r="H108" s="661"/>
      <c r="I108" s="647"/>
    </row>
    <row r="109" spans="1:12" s="367" customFormat="1" ht="12.75" hidden="1" customHeight="1" x14ac:dyDescent="0.2">
      <c r="A109" s="317"/>
      <c r="B109" s="649"/>
      <c r="C109" s="650"/>
      <c r="D109" s="658"/>
      <c r="E109" s="628"/>
      <c r="F109" s="652"/>
      <c r="G109" s="628"/>
      <c r="H109" s="635"/>
      <c r="I109" s="647"/>
      <c r="J109" s="660"/>
      <c r="K109" s="628"/>
      <c r="L109" s="655"/>
    </row>
    <row r="110" spans="1:12" s="367" customFormat="1" ht="12.75" customHeight="1" x14ac:dyDescent="0.2">
      <c r="A110" s="617">
        <f>A101+1</f>
        <v>11</v>
      </c>
      <c r="B110" s="631" t="s">
        <v>232</v>
      </c>
      <c r="C110" s="663" t="s">
        <v>311</v>
      </c>
      <c r="D110" s="662" t="str">
        <f>$D$12</f>
        <v>FTE September 2025</v>
      </c>
      <c r="E110" s="621">
        <f>'3083'!$J$124</f>
        <v>497059.68</v>
      </c>
      <c r="F110" s="634"/>
      <c r="G110" s="621">
        <f>SUBTOTAL(109,E110:F117)</f>
        <v>497059.68</v>
      </c>
      <c r="H110" s="635"/>
      <c r="I110" s="647"/>
      <c r="J110" s="660"/>
      <c r="K110" s="628"/>
      <c r="L110" s="655"/>
    </row>
    <row r="111" spans="1:12" s="367" customFormat="1" ht="12.75" hidden="1" customHeight="1" x14ac:dyDescent="0.2">
      <c r="A111" s="617"/>
      <c r="B111" s="631"/>
      <c r="C111" s="632"/>
      <c r="D111" s="636" t="s">
        <v>527</v>
      </c>
      <c r="E111" s="621"/>
      <c r="F111" s="634"/>
      <c r="G111" s="621"/>
      <c r="H111" s="661"/>
      <c r="I111" s="649"/>
    </row>
    <row r="112" spans="1:12" s="367" customFormat="1" ht="12.75" hidden="1" customHeight="1" x14ac:dyDescent="0.2">
      <c r="A112" s="617"/>
      <c r="B112" s="631"/>
      <c r="C112" s="632"/>
      <c r="D112" s="637" t="s">
        <v>495</v>
      </c>
      <c r="E112" s="621"/>
      <c r="F112" s="634"/>
      <c r="G112" s="621"/>
      <c r="H112" s="661"/>
      <c r="I112" s="649"/>
    </row>
    <row r="113" spans="1:9" s="367" customFormat="1" ht="12.75" hidden="1" customHeight="1" x14ac:dyDescent="0.2">
      <c r="A113" s="617"/>
      <c r="B113" s="631"/>
      <c r="C113" s="632"/>
      <c r="D113" s="636" t="s">
        <v>496</v>
      </c>
      <c r="E113" s="621"/>
      <c r="F113" s="634"/>
      <c r="G113" s="621"/>
      <c r="H113" s="635"/>
      <c r="I113" s="657"/>
    </row>
    <row r="114" spans="1:9" s="367" customFormat="1" ht="12.75" hidden="1" customHeight="1" x14ac:dyDescent="0.2">
      <c r="A114" s="617"/>
      <c r="B114" s="631"/>
      <c r="C114" s="632"/>
      <c r="D114" s="636" t="s">
        <v>497</v>
      </c>
      <c r="E114" s="621"/>
      <c r="F114" s="634"/>
      <c r="G114" s="621"/>
      <c r="H114" s="661"/>
      <c r="I114" s="649"/>
    </row>
    <row r="115" spans="1:9" s="367" customFormat="1" ht="12.75" hidden="1" customHeight="1" x14ac:dyDescent="0.2">
      <c r="A115" s="617"/>
      <c r="B115" s="631"/>
      <c r="C115" s="632"/>
      <c r="D115" s="665" t="s">
        <v>498</v>
      </c>
      <c r="E115" s="621"/>
      <c r="F115" s="634"/>
      <c r="G115" s="621"/>
      <c r="H115" s="661"/>
      <c r="I115" s="649"/>
    </row>
    <row r="116" spans="1:9" s="367" customFormat="1" ht="12.75" hidden="1" customHeight="1" x14ac:dyDescent="0.2">
      <c r="A116" s="617"/>
      <c r="B116" s="631"/>
      <c r="C116" s="632"/>
      <c r="D116" s="636" t="s">
        <v>499</v>
      </c>
      <c r="E116" s="621"/>
      <c r="F116" s="634"/>
      <c r="G116" s="621"/>
      <c r="H116" s="661"/>
      <c r="I116" s="649"/>
    </row>
    <row r="117" spans="1:9" s="367" customFormat="1" ht="12.75" hidden="1" customHeight="1" x14ac:dyDescent="0.2">
      <c r="A117" s="617"/>
      <c r="B117" s="631"/>
      <c r="C117" s="632"/>
      <c r="D117" s="665" t="s">
        <v>517</v>
      </c>
      <c r="E117" s="621"/>
      <c r="F117" s="634"/>
      <c r="G117" s="621"/>
      <c r="H117" s="635"/>
      <c r="I117" s="646"/>
    </row>
    <row r="118" spans="1:9" s="367" customFormat="1" ht="12.75" customHeight="1" x14ac:dyDescent="0.2">
      <c r="A118" s="317">
        <f>A110+1</f>
        <v>12</v>
      </c>
      <c r="B118" s="649" t="s">
        <v>234</v>
      </c>
      <c r="C118" s="664" t="s">
        <v>235</v>
      </c>
      <c r="D118" s="651" t="str">
        <f>$D$12</f>
        <v>FTE September 2025</v>
      </c>
      <c r="E118" s="628">
        <f>'3345'!$J$124</f>
        <v>91364.55</v>
      </c>
      <c r="F118" s="652"/>
      <c r="G118" s="628">
        <f>SUBTOTAL(109,E118:F124)</f>
        <v>91364.55</v>
      </c>
      <c r="H118" s="635"/>
      <c r="I118" s="646"/>
    </row>
    <row r="119" spans="1:9" s="367" customFormat="1" ht="12.75" hidden="1" customHeight="1" x14ac:dyDescent="0.2">
      <c r="A119" s="317"/>
      <c r="B119" s="649"/>
      <c r="C119" s="664"/>
      <c r="D119" s="311" t="s">
        <v>519</v>
      </c>
      <c r="E119" s="628"/>
      <c r="F119" s="652"/>
      <c r="G119" s="628"/>
      <c r="H119" s="635"/>
      <c r="I119" s="646"/>
    </row>
    <row r="120" spans="1:9" s="367" customFormat="1" ht="12.75" hidden="1" customHeight="1" x14ac:dyDescent="0.2">
      <c r="A120" s="317"/>
      <c r="B120" s="649"/>
      <c r="C120" s="664"/>
      <c r="D120" s="311" t="s">
        <v>495</v>
      </c>
      <c r="E120" s="628"/>
      <c r="F120" s="652"/>
      <c r="G120" s="628"/>
      <c r="H120" s="661"/>
      <c r="I120" s="649"/>
    </row>
    <row r="121" spans="1:9" s="367" customFormat="1" ht="12.75" hidden="1" customHeight="1" x14ac:dyDescent="0.2">
      <c r="A121" s="317"/>
      <c r="B121" s="649"/>
      <c r="C121" s="650"/>
      <c r="D121" s="311" t="s">
        <v>497</v>
      </c>
      <c r="E121" s="628"/>
      <c r="F121" s="652"/>
      <c r="G121" s="628"/>
      <c r="H121" s="661"/>
      <c r="I121" s="649"/>
    </row>
    <row r="122" spans="1:9" s="367" customFormat="1" ht="12.75" hidden="1" customHeight="1" x14ac:dyDescent="0.2">
      <c r="A122" s="317"/>
      <c r="B122" s="649"/>
      <c r="C122" s="650"/>
      <c r="D122" s="311" t="s">
        <v>498</v>
      </c>
      <c r="E122" s="628"/>
      <c r="F122" s="652"/>
      <c r="G122" s="628"/>
      <c r="H122" s="635"/>
      <c r="I122" s="657"/>
    </row>
    <row r="123" spans="1:9" s="367" customFormat="1" ht="12.75" hidden="1" customHeight="1" x14ac:dyDescent="0.2">
      <c r="A123" s="317"/>
      <c r="B123" s="649"/>
      <c r="C123" s="650"/>
      <c r="D123" s="311" t="s">
        <v>499</v>
      </c>
      <c r="E123" s="628"/>
      <c r="F123" s="652"/>
      <c r="G123" s="628"/>
      <c r="H123" s="661"/>
      <c r="I123" s="649"/>
    </row>
    <row r="124" spans="1:9" s="367" customFormat="1" ht="12.75" hidden="1" customHeight="1" x14ac:dyDescent="0.2">
      <c r="A124" s="317"/>
      <c r="B124" s="649"/>
      <c r="C124" s="650"/>
      <c r="D124" s="658" t="s">
        <v>517</v>
      </c>
      <c r="E124" s="628"/>
      <c r="F124" s="652"/>
      <c r="G124" s="628"/>
      <c r="H124" s="661"/>
      <c r="I124" s="649"/>
    </row>
    <row r="125" spans="1:9" s="367" customFormat="1" ht="12.75" customHeight="1" x14ac:dyDescent="0.2">
      <c r="A125" s="617">
        <v>13</v>
      </c>
      <c r="B125" s="631" t="s">
        <v>236</v>
      </c>
      <c r="C125" s="632" t="s">
        <v>237</v>
      </c>
      <c r="D125" s="662" t="str">
        <f>$D$12</f>
        <v>FTE September 2025</v>
      </c>
      <c r="E125" s="621">
        <f>'3381'!$J$124</f>
        <v>762872.3</v>
      </c>
      <c r="F125" s="634"/>
      <c r="G125" s="621">
        <f>SUBTOTAL(109,E125:F133)</f>
        <v>762872.3</v>
      </c>
      <c r="H125" s="661"/>
      <c r="I125" s="649"/>
    </row>
    <row r="126" spans="1:9" s="367" customFormat="1" ht="12.75" hidden="1" customHeight="1" x14ac:dyDescent="0.2">
      <c r="A126" s="617"/>
      <c r="B126" s="631"/>
      <c r="C126" s="632"/>
      <c r="D126" s="636" t="s">
        <v>494</v>
      </c>
      <c r="E126" s="621"/>
      <c r="F126" s="634"/>
      <c r="G126" s="621"/>
      <c r="H126" s="635"/>
      <c r="I126" s="646"/>
    </row>
    <row r="127" spans="1:9" ht="12.75" hidden="1" customHeight="1" x14ac:dyDescent="0.2">
      <c r="A127" s="617"/>
      <c r="B127" s="631"/>
      <c r="C127" s="632"/>
      <c r="D127" s="637" t="s">
        <v>495</v>
      </c>
      <c r="E127" s="621"/>
      <c r="F127" s="634"/>
      <c r="G127" s="621"/>
      <c r="H127" s="666"/>
      <c r="I127" s="649"/>
    </row>
    <row r="128" spans="1:9" s="367" customFormat="1" ht="12.75" hidden="1" customHeight="1" x14ac:dyDescent="0.2">
      <c r="A128" s="617"/>
      <c r="B128" s="631"/>
      <c r="C128" s="632"/>
      <c r="D128" s="636" t="s">
        <v>496</v>
      </c>
      <c r="E128" s="621"/>
      <c r="F128" s="634"/>
      <c r="G128" s="621"/>
      <c r="H128" s="661"/>
      <c r="I128" s="649"/>
    </row>
    <row r="129" spans="1:16" s="367" customFormat="1" ht="12.75" hidden="1" customHeight="1" x14ac:dyDescent="0.2">
      <c r="A129" s="617"/>
      <c r="B129" s="631"/>
      <c r="C129" s="632"/>
      <c r="D129" s="636" t="s">
        <v>497</v>
      </c>
      <c r="E129" s="621"/>
      <c r="F129" s="634"/>
      <c r="G129" s="621"/>
      <c r="H129" s="661"/>
      <c r="I129" s="649"/>
    </row>
    <row r="130" spans="1:16" s="367" customFormat="1" ht="12.75" hidden="1" customHeight="1" x14ac:dyDescent="0.2">
      <c r="A130" s="617"/>
      <c r="B130" s="631"/>
      <c r="C130" s="632"/>
      <c r="D130" s="636" t="s">
        <v>498</v>
      </c>
      <c r="E130" s="621"/>
      <c r="F130" s="634"/>
      <c r="G130" s="621"/>
      <c r="H130" s="661"/>
      <c r="I130" s="649"/>
    </row>
    <row r="131" spans="1:16" s="367" customFormat="1" ht="12.75" hidden="1" customHeight="1" x14ac:dyDescent="0.2">
      <c r="A131" s="617"/>
      <c r="B131" s="631"/>
      <c r="C131" s="632"/>
      <c r="D131" s="636" t="s">
        <v>499</v>
      </c>
      <c r="E131" s="621"/>
      <c r="F131" s="634"/>
      <c r="G131" s="621"/>
      <c r="H131" s="661"/>
      <c r="I131" s="649"/>
    </row>
    <row r="132" spans="1:16" s="367" customFormat="1" ht="12.75" hidden="1" customHeight="1" x14ac:dyDescent="0.2">
      <c r="A132" s="617"/>
      <c r="B132" s="631"/>
      <c r="C132" s="632"/>
      <c r="D132" s="636" t="s">
        <v>528</v>
      </c>
      <c r="E132" s="621"/>
      <c r="F132" s="634"/>
      <c r="G132" s="621"/>
      <c r="H132" s="661"/>
      <c r="I132" s="649"/>
    </row>
    <row r="133" spans="1:16" s="367" customFormat="1" ht="12.75" hidden="1" customHeight="1" x14ac:dyDescent="0.2">
      <c r="A133" s="617"/>
      <c r="B133" s="631"/>
      <c r="C133" s="632"/>
      <c r="D133" s="665" t="s">
        <v>517</v>
      </c>
      <c r="E133" s="621"/>
      <c r="F133" s="634"/>
      <c r="G133" s="621"/>
      <c r="H133" s="635"/>
      <c r="I133" s="646"/>
    </row>
    <row r="134" spans="1:16" s="367" customFormat="1" ht="12.75" customHeight="1" x14ac:dyDescent="0.2">
      <c r="A134" s="317">
        <f>A125+1</f>
        <v>14</v>
      </c>
      <c r="B134" s="649" t="s">
        <v>238</v>
      </c>
      <c r="C134" s="650" t="s">
        <v>239</v>
      </c>
      <c r="D134" s="651" t="str">
        <f>$D$12</f>
        <v>FTE September 2025</v>
      </c>
      <c r="E134" s="628">
        <f>'3382'!$J$124</f>
        <v>202508.28</v>
      </c>
      <c r="F134" s="652"/>
      <c r="G134" s="628">
        <f>SUBTOTAL(109,E134:F142)</f>
        <v>202508.28</v>
      </c>
      <c r="H134" s="635"/>
      <c r="I134" s="646"/>
    </row>
    <row r="135" spans="1:16" s="367" customFormat="1" ht="12.75" hidden="1" customHeight="1" x14ac:dyDescent="0.2">
      <c r="A135" s="317"/>
      <c r="B135" s="649"/>
      <c r="C135" s="650"/>
      <c r="D135" s="311" t="s">
        <v>519</v>
      </c>
      <c r="E135" s="628"/>
      <c r="F135" s="652"/>
      <c r="G135" s="628"/>
      <c r="H135" s="661"/>
      <c r="I135" s="649"/>
    </row>
    <row r="136" spans="1:16" s="367" customFormat="1" ht="12.75" hidden="1" customHeight="1" x14ac:dyDescent="0.2">
      <c r="A136" s="317"/>
      <c r="B136" s="649"/>
      <c r="C136" s="650"/>
      <c r="D136" s="654" t="s">
        <v>495</v>
      </c>
      <c r="E136" s="628"/>
      <c r="F136" s="652"/>
      <c r="G136" s="628"/>
      <c r="H136" s="661"/>
      <c r="I136" s="649"/>
    </row>
    <row r="137" spans="1:16" s="367" customFormat="1" ht="12.75" hidden="1" customHeight="1" x14ac:dyDescent="0.2">
      <c r="A137" s="317"/>
      <c r="B137" s="649"/>
      <c r="C137" s="650"/>
      <c r="D137" s="311" t="s">
        <v>496</v>
      </c>
      <c r="E137" s="628"/>
      <c r="F137" s="652"/>
      <c r="G137" s="628"/>
      <c r="H137" s="635"/>
      <c r="I137" s="657"/>
    </row>
    <row r="138" spans="1:16" s="367" customFormat="1" ht="12.75" hidden="1" customHeight="1" x14ac:dyDescent="0.2">
      <c r="A138" s="317"/>
      <c r="B138" s="649"/>
      <c r="C138" s="650"/>
      <c r="D138" s="311" t="s">
        <v>497</v>
      </c>
      <c r="E138" s="628"/>
      <c r="F138" s="652"/>
      <c r="G138" s="628"/>
      <c r="H138" s="661"/>
      <c r="I138" s="649"/>
    </row>
    <row r="139" spans="1:16" s="367" customFormat="1" ht="12.75" hidden="1" customHeight="1" x14ac:dyDescent="0.2">
      <c r="A139" s="317"/>
      <c r="B139" s="649"/>
      <c r="C139" s="650"/>
      <c r="D139" s="311" t="s">
        <v>498</v>
      </c>
      <c r="E139" s="628"/>
      <c r="F139" s="652"/>
      <c r="G139" s="628"/>
      <c r="H139" s="661"/>
      <c r="I139" s="649"/>
    </row>
    <row r="140" spans="1:16" s="367" customFormat="1" ht="12.75" hidden="1" customHeight="1" x14ac:dyDescent="0.2">
      <c r="A140" s="317"/>
      <c r="B140" s="649"/>
      <c r="C140" s="650"/>
      <c r="D140" s="311" t="s">
        <v>499</v>
      </c>
      <c r="E140" s="628"/>
      <c r="F140" s="652"/>
      <c r="G140" s="628"/>
      <c r="H140" s="661"/>
      <c r="I140" s="649"/>
    </row>
    <row r="141" spans="1:16" s="367" customFormat="1" ht="12.75" hidden="1" customHeight="1" x14ac:dyDescent="0.2">
      <c r="A141" s="317"/>
      <c r="B141" s="649"/>
      <c r="C141" s="650"/>
      <c r="D141" s="311" t="s">
        <v>521</v>
      </c>
      <c r="E141" s="628"/>
      <c r="F141" s="652"/>
      <c r="G141" s="628"/>
      <c r="H141" s="635"/>
      <c r="I141" s="646"/>
    </row>
    <row r="142" spans="1:16" s="367" customFormat="1" ht="12.75" hidden="1" customHeight="1" x14ac:dyDescent="0.2">
      <c r="A142" s="317"/>
      <c r="B142" s="649"/>
      <c r="C142" s="657"/>
      <c r="D142" s="658" t="s">
        <v>517</v>
      </c>
      <c r="E142" s="628"/>
      <c r="F142" s="652"/>
      <c r="G142" s="628"/>
      <c r="H142" s="635"/>
      <c r="I142" s="642"/>
    </row>
    <row r="143" spans="1:16" ht="12.75" customHeight="1" x14ac:dyDescent="0.2">
      <c r="A143" s="617">
        <f>A134+1</f>
        <v>15</v>
      </c>
      <c r="B143" s="631" t="s">
        <v>240</v>
      </c>
      <c r="C143" s="632" t="s">
        <v>241</v>
      </c>
      <c r="D143" s="662" t="str">
        <f>$D$12</f>
        <v>FTE September 2025</v>
      </c>
      <c r="E143" s="621">
        <f>'3391'!$J$124</f>
        <v>0</v>
      </c>
      <c r="F143" s="634"/>
      <c r="G143" s="621">
        <f>SUBTOTAL(109,E143:F151)</f>
        <v>0</v>
      </c>
      <c r="H143" s="666"/>
      <c r="I143" s="649"/>
    </row>
    <row r="144" spans="1:16" s="367" customFormat="1" ht="12.75" hidden="1" customHeight="1" x14ac:dyDescent="0.2">
      <c r="A144" s="617"/>
      <c r="B144" s="631"/>
      <c r="C144" s="632"/>
      <c r="D144" s="636" t="s">
        <v>494</v>
      </c>
      <c r="E144" s="621"/>
      <c r="F144" s="634">
        <v>0</v>
      </c>
      <c r="G144" s="621"/>
      <c r="H144" s="661"/>
      <c r="I144" s="649"/>
      <c r="P144" s="656"/>
    </row>
    <row r="145" spans="1:9" s="367" customFormat="1" ht="12.75" hidden="1" customHeight="1" x14ac:dyDescent="0.2">
      <c r="A145" s="617"/>
      <c r="B145" s="631"/>
      <c r="C145" s="632"/>
      <c r="D145" s="636" t="s">
        <v>495</v>
      </c>
      <c r="E145" s="621"/>
      <c r="F145" s="634"/>
      <c r="G145" s="621"/>
      <c r="H145" s="661"/>
      <c r="I145" s="649"/>
    </row>
    <row r="146" spans="1:9" s="367" customFormat="1" ht="12.75" hidden="1" customHeight="1" x14ac:dyDescent="0.2">
      <c r="A146" s="617"/>
      <c r="B146" s="631"/>
      <c r="C146" s="632"/>
      <c r="D146" s="637" t="s">
        <v>515</v>
      </c>
      <c r="E146" s="621"/>
      <c r="F146" s="634"/>
      <c r="G146" s="621"/>
      <c r="H146" s="635"/>
      <c r="I146" s="657"/>
    </row>
    <row r="147" spans="1:9" s="367" customFormat="1" ht="12.75" hidden="1" customHeight="1" x14ac:dyDescent="0.2">
      <c r="A147" s="617"/>
      <c r="B147" s="631"/>
      <c r="C147" s="632"/>
      <c r="D147" s="636" t="s">
        <v>496</v>
      </c>
      <c r="E147" s="621"/>
      <c r="F147" s="634"/>
      <c r="G147" s="621"/>
      <c r="H147" s="661"/>
      <c r="I147" s="649"/>
    </row>
    <row r="148" spans="1:9" s="367" customFormat="1" ht="12.75" hidden="1" customHeight="1" x14ac:dyDescent="0.2">
      <c r="A148" s="617"/>
      <c r="B148" s="631"/>
      <c r="C148" s="632"/>
      <c r="D148" s="636" t="s">
        <v>497</v>
      </c>
      <c r="E148" s="621"/>
      <c r="F148" s="634"/>
      <c r="G148" s="621"/>
      <c r="H148" s="661"/>
      <c r="I148" s="649"/>
    </row>
    <row r="149" spans="1:9" s="367" customFormat="1" ht="12.75" hidden="1" customHeight="1" x14ac:dyDescent="0.2">
      <c r="A149" s="617"/>
      <c r="B149" s="631"/>
      <c r="C149" s="632"/>
      <c r="D149" s="636" t="s">
        <v>498</v>
      </c>
      <c r="E149" s="621"/>
      <c r="F149" s="634"/>
      <c r="G149" s="621"/>
      <c r="H149" s="661"/>
      <c r="I149" s="649"/>
    </row>
    <row r="150" spans="1:9" s="367" customFormat="1" ht="12.75" hidden="1" customHeight="1" x14ac:dyDescent="0.2">
      <c r="A150" s="617"/>
      <c r="B150" s="631"/>
      <c r="C150" s="632"/>
      <c r="D150" s="636" t="s">
        <v>499</v>
      </c>
      <c r="E150" s="621"/>
      <c r="F150" s="634"/>
      <c r="G150" s="621"/>
      <c r="H150" s="635"/>
      <c r="I150" s="646"/>
    </row>
    <row r="151" spans="1:9" s="367" customFormat="1" ht="12.75" hidden="1" customHeight="1" x14ac:dyDescent="0.2">
      <c r="A151" s="617"/>
      <c r="B151" s="631"/>
      <c r="C151" s="632"/>
      <c r="D151" s="665"/>
      <c r="E151" s="621"/>
      <c r="F151" s="634"/>
      <c r="G151" s="621"/>
      <c r="H151" s="661"/>
      <c r="I151" s="646"/>
    </row>
    <row r="152" spans="1:9" ht="12.75" customHeight="1" x14ac:dyDescent="0.2">
      <c r="A152" s="317">
        <f>A143+1</f>
        <v>16</v>
      </c>
      <c r="B152" s="649" t="s">
        <v>242</v>
      </c>
      <c r="C152" s="650" t="s">
        <v>243</v>
      </c>
      <c r="D152" s="651" t="str">
        <f>$D$12</f>
        <v>FTE September 2025</v>
      </c>
      <c r="E152" s="628">
        <f>'3394'!$J$124</f>
        <v>137857.37</v>
      </c>
      <c r="F152" s="652" t="s">
        <v>52</v>
      </c>
      <c r="G152" s="628">
        <f>SUBTOTAL(109,E152:F161)</f>
        <v>137857.37</v>
      </c>
      <c r="H152" s="666"/>
      <c r="I152" s="649"/>
    </row>
    <row r="153" spans="1:9" s="367" customFormat="1" ht="12.75" hidden="1" customHeight="1" x14ac:dyDescent="0.2">
      <c r="A153" s="317"/>
      <c r="B153" s="649"/>
      <c r="C153" s="650"/>
      <c r="D153" s="311" t="s">
        <v>519</v>
      </c>
      <c r="E153" s="628"/>
      <c r="F153" s="652"/>
      <c r="G153" s="628"/>
      <c r="H153" s="661"/>
      <c r="I153" s="667"/>
    </row>
    <row r="154" spans="1:9" s="367" customFormat="1" ht="12.75" hidden="1" customHeight="1" x14ac:dyDescent="0.2">
      <c r="A154" s="317"/>
      <c r="B154" s="649"/>
      <c r="C154" s="650"/>
      <c r="D154" s="654" t="s">
        <v>495</v>
      </c>
      <c r="E154" s="628"/>
      <c r="F154" s="652"/>
      <c r="G154" s="628"/>
      <c r="H154" s="661"/>
      <c r="I154" s="667"/>
    </row>
    <row r="155" spans="1:9" s="367" customFormat="1" ht="12.75" hidden="1" customHeight="1" x14ac:dyDescent="0.2">
      <c r="A155" s="317"/>
      <c r="B155" s="649"/>
      <c r="C155" s="650"/>
      <c r="D155" s="311" t="s">
        <v>496</v>
      </c>
      <c r="E155" s="628"/>
      <c r="F155" s="652"/>
      <c r="G155" s="628"/>
      <c r="H155" s="635"/>
      <c r="I155" s="657"/>
    </row>
    <row r="156" spans="1:9" s="367" customFormat="1" ht="12.75" hidden="1" customHeight="1" x14ac:dyDescent="0.2">
      <c r="A156" s="317"/>
      <c r="B156" s="649"/>
      <c r="C156" s="650"/>
      <c r="D156" s="311" t="s">
        <v>497</v>
      </c>
      <c r="E156" s="628"/>
      <c r="F156" s="652"/>
      <c r="G156" s="628"/>
      <c r="H156" s="635"/>
      <c r="I156" s="657"/>
    </row>
    <row r="157" spans="1:9" s="367" customFormat="1" ht="12.75" hidden="1" customHeight="1" x14ac:dyDescent="0.2">
      <c r="A157" s="317"/>
      <c r="B157" s="649"/>
      <c r="C157" s="650"/>
      <c r="D157" s="311" t="s">
        <v>498</v>
      </c>
      <c r="E157" s="628"/>
      <c r="F157" s="652"/>
      <c r="G157" s="628"/>
      <c r="H157" s="661"/>
      <c r="I157" s="667"/>
    </row>
    <row r="158" spans="1:9" s="367" customFormat="1" ht="12.75" hidden="1" customHeight="1" x14ac:dyDescent="0.2">
      <c r="A158" s="317"/>
      <c r="B158" s="649"/>
      <c r="C158" s="650"/>
      <c r="D158" s="311" t="s">
        <v>499</v>
      </c>
      <c r="E158" s="628"/>
      <c r="F158" s="652"/>
      <c r="G158" s="628"/>
      <c r="H158" s="661"/>
      <c r="I158" s="667"/>
    </row>
    <row r="159" spans="1:9" s="367" customFormat="1" ht="12.75" hidden="1" customHeight="1" x14ac:dyDescent="0.2">
      <c r="A159" s="317"/>
      <c r="B159" s="649"/>
      <c r="C159" s="650"/>
      <c r="D159" s="311" t="s">
        <v>528</v>
      </c>
      <c r="E159" s="628"/>
      <c r="F159" s="652"/>
      <c r="G159" s="628"/>
      <c r="H159" s="661"/>
      <c r="I159" s="667"/>
    </row>
    <row r="160" spans="1:9" s="367" customFormat="1" ht="12.75" hidden="1" customHeight="1" x14ac:dyDescent="0.2">
      <c r="A160" s="317"/>
      <c r="B160" s="649"/>
      <c r="C160" s="650"/>
      <c r="D160" s="658" t="s">
        <v>529</v>
      </c>
      <c r="E160" s="628"/>
      <c r="F160" s="652"/>
      <c r="G160" s="628"/>
      <c r="H160" s="635"/>
      <c r="I160" s="646"/>
    </row>
    <row r="161" spans="1:9" s="367" customFormat="1" ht="12.75" hidden="1" customHeight="1" x14ac:dyDescent="0.2">
      <c r="A161" s="317"/>
      <c r="B161" s="649"/>
      <c r="C161" s="650"/>
      <c r="D161" s="658" t="s">
        <v>530</v>
      </c>
      <c r="E161" s="628"/>
      <c r="F161" s="652"/>
      <c r="G161" s="628"/>
      <c r="H161" s="635"/>
      <c r="I161" s="646"/>
    </row>
    <row r="162" spans="1:9" s="367" customFormat="1" ht="12.75" customHeight="1" x14ac:dyDescent="0.2">
      <c r="A162" s="617">
        <f>A152+1</f>
        <v>17</v>
      </c>
      <c r="B162" s="631" t="s">
        <v>244</v>
      </c>
      <c r="C162" s="663" t="s">
        <v>316</v>
      </c>
      <c r="D162" s="662" t="str">
        <f>$D$12</f>
        <v>FTE September 2025</v>
      </c>
      <c r="E162" s="621">
        <f>'3395'!$J$124</f>
        <v>368541.43</v>
      </c>
      <c r="F162" s="634"/>
      <c r="G162" s="621">
        <f>SUBTOTAL(109,E162:F170)</f>
        <v>368541.43</v>
      </c>
      <c r="H162" s="661"/>
      <c r="I162" s="667"/>
    </row>
    <row r="163" spans="1:9" s="367" customFormat="1" ht="12.75" hidden="1" customHeight="1" x14ac:dyDescent="0.2">
      <c r="A163" s="617"/>
      <c r="B163" s="631"/>
      <c r="C163" s="632"/>
      <c r="D163" s="636" t="s">
        <v>494</v>
      </c>
      <c r="E163" s="621"/>
      <c r="F163" s="634"/>
      <c r="G163" s="621"/>
      <c r="H163" s="661"/>
      <c r="I163" s="667"/>
    </row>
    <row r="164" spans="1:9" s="367" customFormat="1" ht="12.75" hidden="1" customHeight="1" x14ac:dyDescent="0.2">
      <c r="A164" s="617"/>
      <c r="B164" s="631"/>
      <c r="C164" s="632"/>
      <c r="D164" s="637" t="s">
        <v>495</v>
      </c>
      <c r="E164" s="621"/>
      <c r="F164" s="634"/>
      <c r="G164" s="621"/>
      <c r="H164" s="635"/>
      <c r="I164" s="657"/>
    </row>
    <row r="165" spans="1:9" s="367" customFormat="1" ht="12.75" hidden="1" customHeight="1" x14ac:dyDescent="0.2">
      <c r="A165" s="617"/>
      <c r="B165" s="631"/>
      <c r="C165" s="632"/>
      <c r="D165" s="636" t="s">
        <v>496</v>
      </c>
      <c r="E165" s="621"/>
      <c r="F165" s="634"/>
      <c r="G165" s="621"/>
      <c r="H165" s="661"/>
      <c r="I165" s="667"/>
    </row>
    <row r="166" spans="1:9" s="367" customFormat="1" ht="12.75" hidden="1" customHeight="1" x14ac:dyDescent="0.2">
      <c r="A166" s="617"/>
      <c r="B166" s="631"/>
      <c r="C166" s="632"/>
      <c r="D166" s="636" t="s">
        <v>497</v>
      </c>
      <c r="E166" s="621"/>
      <c r="F166" s="634"/>
      <c r="G166" s="621"/>
      <c r="H166" s="661"/>
      <c r="I166" s="667"/>
    </row>
    <row r="167" spans="1:9" s="367" customFormat="1" ht="12.75" hidden="1" customHeight="1" x14ac:dyDescent="0.2">
      <c r="A167" s="617"/>
      <c r="B167" s="631"/>
      <c r="C167" s="632"/>
      <c r="D167" s="636" t="s">
        <v>498</v>
      </c>
      <c r="E167" s="621"/>
      <c r="F167" s="634"/>
      <c r="G167" s="621"/>
      <c r="H167" s="661"/>
      <c r="I167" s="667"/>
    </row>
    <row r="168" spans="1:9" s="367" customFormat="1" ht="12.75" hidden="1" customHeight="1" x14ac:dyDescent="0.2">
      <c r="A168" s="617"/>
      <c r="B168" s="631"/>
      <c r="C168" s="632"/>
      <c r="D168" s="636" t="s">
        <v>499</v>
      </c>
      <c r="E168" s="621"/>
      <c r="F168" s="634"/>
      <c r="G168" s="621"/>
      <c r="H168" s="635"/>
      <c r="I168" s="646"/>
    </row>
    <row r="169" spans="1:9" s="367" customFormat="1" ht="12.75" hidden="1" customHeight="1" x14ac:dyDescent="0.2">
      <c r="A169" s="617"/>
      <c r="B169" s="631"/>
      <c r="C169" s="632"/>
      <c r="D169" s="643"/>
      <c r="E169" s="621"/>
      <c r="F169" s="634"/>
      <c r="G169" s="621"/>
      <c r="H169" s="661"/>
      <c r="I169" s="642"/>
    </row>
    <row r="170" spans="1:9" s="367" customFormat="1" ht="12.75" hidden="1" customHeight="1" x14ac:dyDescent="0.2">
      <c r="A170" s="668"/>
      <c r="B170" s="631"/>
      <c r="C170" s="632"/>
      <c r="D170" s="643"/>
      <c r="E170" s="669"/>
      <c r="F170" s="634"/>
      <c r="G170" s="621"/>
      <c r="H170" s="661"/>
      <c r="I170" s="642"/>
    </row>
    <row r="171" spans="1:9" s="367" customFormat="1" ht="12.75" customHeight="1" x14ac:dyDescent="0.2">
      <c r="A171" s="317">
        <f>A162+1</f>
        <v>18</v>
      </c>
      <c r="B171" s="649" t="s">
        <v>246</v>
      </c>
      <c r="C171" s="664" t="s">
        <v>247</v>
      </c>
      <c r="D171" s="651" t="str">
        <f>$D$12</f>
        <v>FTE September 2025</v>
      </c>
      <c r="E171" s="628">
        <f>'3396'!$J$124</f>
        <v>533385.66</v>
      </c>
      <c r="F171" s="652"/>
      <c r="G171" s="628">
        <f>SUBTOTAL(109,E171:F178)</f>
        <v>533385.66</v>
      </c>
      <c r="H171" s="661"/>
      <c r="I171" s="667"/>
    </row>
    <row r="172" spans="1:9" s="367" customFormat="1" ht="12.75" hidden="1" customHeight="1" x14ac:dyDescent="0.2">
      <c r="A172" s="317"/>
      <c r="B172" s="649"/>
      <c r="C172" s="664"/>
      <c r="D172" s="311" t="s">
        <v>519</v>
      </c>
      <c r="E172" s="628"/>
      <c r="F172" s="652"/>
      <c r="G172" s="628"/>
      <c r="H172" s="661"/>
      <c r="I172" s="667"/>
    </row>
    <row r="173" spans="1:9" s="367" customFormat="1" ht="12.75" hidden="1" customHeight="1" x14ac:dyDescent="0.2">
      <c r="A173" s="317"/>
      <c r="B173" s="649"/>
      <c r="C173" s="664"/>
      <c r="D173" s="311" t="s">
        <v>495</v>
      </c>
      <c r="E173" s="628"/>
      <c r="F173" s="652"/>
      <c r="G173" s="628"/>
      <c r="H173" s="661"/>
      <c r="I173" s="667"/>
    </row>
    <row r="174" spans="1:9" s="367" customFormat="1" ht="12.75" hidden="1" customHeight="1" x14ac:dyDescent="0.2">
      <c r="A174" s="317"/>
      <c r="B174" s="649"/>
      <c r="C174" s="664"/>
      <c r="D174" s="311" t="s">
        <v>497</v>
      </c>
      <c r="E174" s="628"/>
      <c r="F174" s="652"/>
      <c r="G174" s="628"/>
      <c r="H174" s="635"/>
      <c r="I174" s="657"/>
    </row>
    <row r="175" spans="1:9" s="367" customFormat="1" ht="12.75" hidden="1" customHeight="1" x14ac:dyDescent="0.2">
      <c r="A175" s="317"/>
      <c r="B175" s="649"/>
      <c r="C175" s="664"/>
      <c r="D175" s="311" t="s">
        <v>498</v>
      </c>
      <c r="E175" s="628"/>
      <c r="F175" s="652"/>
      <c r="G175" s="628"/>
      <c r="H175" s="661"/>
      <c r="I175" s="667"/>
    </row>
    <row r="176" spans="1:9" s="367" customFormat="1" ht="12.75" hidden="1" customHeight="1" x14ac:dyDescent="0.2">
      <c r="A176" s="317"/>
      <c r="B176" s="649"/>
      <c r="C176" s="650"/>
      <c r="D176" s="311" t="s">
        <v>499</v>
      </c>
      <c r="E176" s="628"/>
      <c r="F176" s="652"/>
      <c r="G176" s="628"/>
      <c r="H176" s="661"/>
      <c r="I176" s="667"/>
    </row>
    <row r="177" spans="1:11" s="367" customFormat="1" ht="12.75" hidden="1" customHeight="1" x14ac:dyDescent="0.2">
      <c r="A177" s="317"/>
      <c r="B177" s="649"/>
      <c r="C177" s="650"/>
      <c r="D177" s="311" t="s">
        <v>528</v>
      </c>
      <c r="E177" s="628"/>
      <c r="F177" s="652"/>
      <c r="G177" s="628"/>
      <c r="H177" s="661"/>
      <c r="I177" s="667"/>
    </row>
    <row r="178" spans="1:11" s="367" customFormat="1" ht="12.75" hidden="1" customHeight="1" x14ac:dyDescent="0.2">
      <c r="A178" s="317"/>
      <c r="B178" s="649"/>
      <c r="C178" s="650"/>
      <c r="D178" s="658" t="s">
        <v>517</v>
      </c>
      <c r="E178" s="628"/>
      <c r="F178" s="652"/>
      <c r="G178" s="628"/>
      <c r="H178" s="635"/>
      <c r="I178" s="646"/>
    </row>
    <row r="179" spans="1:11" s="367" customFormat="1" ht="12.75" customHeight="1" x14ac:dyDescent="0.2">
      <c r="A179" s="617">
        <f>A171+1</f>
        <v>19</v>
      </c>
      <c r="B179" s="631" t="s">
        <v>248</v>
      </c>
      <c r="C179" s="632" t="s">
        <v>249</v>
      </c>
      <c r="D179" s="662" t="str">
        <f>$D$12</f>
        <v>FTE September 2025</v>
      </c>
      <c r="E179" s="621">
        <f>'3398'!$J$124</f>
        <v>76763.56</v>
      </c>
      <c r="F179" s="634"/>
      <c r="G179" s="621">
        <f>SUBTOTAL(109,E179:F185)</f>
        <v>76763.56</v>
      </c>
      <c r="H179" s="661"/>
      <c r="I179" s="642"/>
    </row>
    <row r="180" spans="1:11" ht="12.75" hidden="1" customHeight="1" x14ac:dyDescent="0.2">
      <c r="A180" s="617"/>
      <c r="B180" s="631"/>
      <c r="C180" s="632"/>
      <c r="D180" s="636" t="s">
        <v>494</v>
      </c>
      <c r="E180" s="621"/>
      <c r="F180" s="634"/>
      <c r="G180" s="621"/>
      <c r="H180" s="666"/>
      <c r="I180" s="670"/>
    </row>
    <row r="181" spans="1:11" s="367" customFormat="1" ht="12.75" hidden="1" customHeight="1" x14ac:dyDescent="0.2">
      <c r="A181" s="617"/>
      <c r="B181" s="631"/>
      <c r="C181" s="632"/>
      <c r="D181" s="636" t="s">
        <v>495</v>
      </c>
      <c r="E181" s="621"/>
      <c r="F181" s="634"/>
      <c r="G181" s="621"/>
      <c r="H181" s="661"/>
      <c r="I181" s="667"/>
      <c r="K181" s="656"/>
    </row>
    <row r="182" spans="1:11" s="367" customFormat="1" ht="12.75" hidden="1" customHeight="1" x14ac:dyDescent="0.2">
      <c r="A182" s="617"/>
      <c r="B182" s="631"/>
      <c r="C182" s="632"/>
      <c r="D182" s="636" t="s">
        <v>497</v>
      </c>
      <c r="E182" s="621"/>
      <c r="F182" s="634"/>
      <c r="G182" s="621"/>
      <c r="H182" s="661"/>
      <c r="I182" s="667"/>
    </row>
    <row r="183" spans="1:11" s="367" customFormat="1" ht="12.75" hidden="1" customHeight="1" x14ac:dyDescent="0.2">
      <c r="A183" s="617"/>
      <c r="B183" s="631"/>
      <c r="C183" s="639"/>
      <c r="D183" s="636" t="s">
        <v>498</v>
      </c>
      <c r="E183" s="621"/>
      <c r="F183" s="634"/>
      <c r="G183" s="621"/>
      <c r="H183" s="661"/>
    </row>
    <row r="184" spans="1:11" s="367" customFormat="1" ht="12.75" hidden="1" customHeight="1" x14ac:dyDescent="0.2">
      <c r="A184" s="617"/>
      <c r="B184" s="631"/>
      <c r="C184" s="632"/>
      <c r="D184" s="636" t="s">
        <v>499</v>
      </c>
      <c r="E184" s="621"/>
      <c r="F184" s="634"/>
      <c r="G184" s="621"/>
      <c r="H184" s="661"/>
    </row>
    <row r="185" spans="1:11" s="367" customFormat="1" ht="12.75" hidden="1" customHeight="1" x14ac:dyDescent="0.2">
      <c r="A185" s="617"/>
      <c r="B185" s="631"/>
      <c r="C185" s="639"/>
      <c r="D185" s="665" t="s">
        <v>517</v>
      </c>
      <c r="E185" s="621"/>
      <c r="F185" s="634"/>
      <c r="G185" s="621"/>
      <c r="H185" s="661"/>
    </row>
    <row r="186" spans="1:11" s="367" customFormat="1" ht="12.75" customHeight="1" x14ac:dyDescent="0.2">
      <c r="A186" s="317">
        <f>A179+1</f>
        <v>20</v>
      </c>
      <c r="B186" s="649" t="s">
        <v>250</v>
      </c>
      <c r="C186" s="650" t="s">
        <v>251</v>
      </c>
      <c r="D186" s="651" t="str">
        <f>$D$12</f>
        <v>FTE September 2025</v>
      </c>
      <c r="E186" s="628">
        <f>'3400'!$J$124</f>
        <v>94458.1</v>
      </c>
      <c r="F186" s="652"/>
      <c r="G186" s="628">
        <f>SUBTOTAL(109,E186:F193)</f>
        <v>94458.1</v>
      </c>
      <c r="H186" s="635"/>
      <c r="I186" s="646"/>
    </row>
    <row r="187" spans="1:11" s="367" customFormat="1" ht="12.75" hidden="1" customHeight="1" x14ac:dyDescent="0.2">
      <c r="A187" s="317"/>
      <c r="B187" s="649"/>
      <c r="C187" s="650"/>
      <c r="D187" s="311" t="s">
        <v>519</v>
      </c>
      <c r="E187" s="628"/>
      <c r="F187" s="652"/>
      <c r="G187" s="628"/>
      <c r="H187" s="661"/>
      <c r="I187" s="642"/>
    </row>
    <row r="188" spans="1:11" s="367" customFormat="1" ht="12.75" hidden="1" customHeight="1" x14ac:dyDescent="0.2">
      <c r="A188" s="317"/>
      <c r="B188" s="649"/>
      <c r="C188" s="650"/>
      <c r="D188" s="654" t="s">
        <v>527</v>
      </c>
      <c r="E188" s="628"/>
      <c r="F188" s="652"/>
      <c r="G188" s="628"/>
      <c r="H188" s="661"/>
      <c r="I188" s="667"/>
    </row>
    <row r="189" spans="1:11" s="367" customFormat="1" ht="12.75" hidden="1" customHeight="1" x14ac:dyDescent="0.2">
      <c r="A189" s="317"/>
      <c r="B189" s="649"/>
      <c r="C189" s="650"/>
      <c r="D189" s="311" t="s">
        <v>496</v>
      </c>
      <c r="E189" s="628"/>
      <c r="F189" s="652"/>
      <c r="G189" s="628"/>
      <c r="H189" s="661"/>
      <c r="I189" s="667"/>
    </row>
    <row r="190" spans="1:11" s="367" customFormat="1" ht="12.75" hidden="1" customHeight="1" x14ac:dyDescent="0.2">
      <c r="A190" s="317"/>
      <c r="B190" s="649"/>
      <c r="C190" s="650"/>
      <c r="D190" s="311" t="s">
        <v>497</v>
      </c>
      <c r="E190" s="628"/>
      <c r="F190" s="652"/>
      <c r="G190" s="628"/>
      <c r="H190" s="661"/>
      <c r="I190" s="667"/>
    </row>
    <row r="191" spans="1:11" s="367" customFormat="1" ht="12.75" hidden="1" customHeight="1" x14ac:dyDescent="0.2">
      <c r="A191" s="317"/>
      <c r="B191" s="649"/>
      <c r="C191" s="650"/>
      <c r="D191" s="311" t="s">
        <v>498</v>
      </c>
      <c r="E191" s="628"/>
      <c r="F191" s="652"/>
      <c r="G191" s="628"/>
      <c r="H191" s="661"/>
    </row>
    <row r="192" spans="1:11" s="367" customFormat="1" ht="12.75" hidden="1" customHeight="1" x14ac:dyDescent="0.2">
      <c r="A192" s="317"/>
      <c r="B192" s="649"/>
      <c r="C192" s="650"/>
      <c r="D192" s="311" t="s">
        <v>499</v>
      </c>
      <c r="E192" s="628"/>
      <c r="F192" s="652"/>
      <c r="G192" s="628"/>
      <c r="H192" s="661"/>
      <c r="I192" s="309"/>
    </row>
    <row r="193" spans="1:9" ht="12.75" hidden="1" customHeight="1" x14ac:dyDescent="0.2">
      <c r="A193" s="317"/>
      <c r="B193" s="649"/>
      <c r="C193" s="650"/>
      <c r="D193" s="658" t="s">
        <v>517</v>
      </c>
      <c r="E193" s="628"/>
      <c r="F193" s="652"/>
      <c r="G193" s="628"/>
      <c r="H193" s="666"/>
    </row>
    <row r="194" spans="1:9" s="367" customFormat="1" ht="12.75" customHeight="1" x14ac:dyDescent="0.2">
      <c r="A194" s="617">
        <f>A186+1</f>
        <v>21</v>
      </c>
      <c r="B194" s="631" t="s">
        <v>252</v>
      </c>
      <c r="C194" s="632" t="s">
        <v>253</v>
      </c>
      <c r="D194" s="662" t="str">
        <f>$D$12</f>
        <v>FTE September 2025</v>
      </c>
      <c r="E194" s="621">
        <f>'3401'!$J$124</f>
        <v>298028.7</v>
      </c>
      <c r="F194" s="634"/>
      <c r="G194" s="621">
        <f>SUBTOTAL(109,E194:F204)</f>
        <v>298028.7</v>
      </c>
      <c r="H194" s="635"/>
      <c r="I194" s="646"/>
    </row>
    <row r="195" spans="1:9" ht="12.75" hidden="1" customHeight="1" x14ac:dyDescent="0.2">
      <c r="A195" s="617"/>
      <c r="B195" s="631"/>
      <c r="C195" s="632"/>
      <c r="D195" s="636" t="s">
        <v>494</v>
      </c>
      <c r="E195" s="621"/>
      <c r="F195" s="634"/>
      <c r="G195" s="621"/>
      <c r="H195" s="666"/>
      <c r="I195" s="667"/>
    </row>
    <row r="196" spans="1:9" s="367" customFormat="1" ht="12.75" hidden="1" customHeight="1" x14ac:dyDescent="0.2">
      <c r="A196" s="617"/>
      <c r="B196" s="631"/>
      <c r="C196" s="632"/>
      <c r="D196" s="637" t="s">
        <v>495</v>
      </c>
      <c r="E196" s="621"/>
      <c r="F196" s="634"/>
      <c r="G196" s="621"/>
      <c r="H196" s="661"/>
      <c r="I196" s="667"/>
    </row>
    <row r="197" spans="1:9" s="367" customFormat="1" ht="12.75" hidden="1" customHeight="1" x14ac:dyDescent="0.2">
      <c r="A197" s="617"/>
      <c r="B197" s="631"/>
      <c r="C197" s="632"/>
      <c r="D197" s="636" t="s">
        <v>520</v>
      </c>
      <c r="E197" s="621"/>
      <c r="F197" s="634"/>
      <c r="G197" s="621"/>
      <c r="H197" s="661"/>
      <c r="I197" s="667"/>
    </row>
    <row r="198" spans="1:9" s="367" customFormat="1" ht="12.75" hidden="1" customHeight="1" x14ac:dyDescent="0.2">
      <c r="A198" s="617"/>
      <c r="B198" s="631"/>
      <c r="C198" s="632"/>
      <c r="D198" s="636" t="s">
        <v>531</v>
      </c>
      <c r="E198" s="621"/>
      <c r="F198" s="634"/>
      <c r="G198" s="621"/>
      <c r="H198" s="635"/>
      <c r="I198" s="657"/>
    </row>
    <row r="199" spans="1:9" s="367" customFormat="1" ht="12.75" hidden="1" customHeight="1" x14ac:dyDescent="0.2">
      <c r="A199" s="617"/>
      <c r="B199" s="631"/>
      <c r="C199" s="632"/>
      <c r="D199" s="636" t="s">
        <v>496</v>
      </c>
      <c r="E199" s="621"/>
      <c r="F199" s="634"/>
      <c r="G199" s="621"/>
      <c r="H199" s="661"/>
    </row>
    <row r="200" spans="1:9" s="367" customFormat="1" ht="12.75" hidden="1" customHeight="1" x14ac:dyDescent="0.2">
      <c r="A200" s="617"/>
      <c r="B200" s="631"/>
      <c r="C200" s="632"/>
      <c r="D200" s="636" t="s">
        <v>497</v>
      </c>
      <c r="E200" s="621"/>
      <c r="F200" s="634"/>
      <c r="G200" s="621"/>
      <c r="H200" s="661"/>
    </row>
    <row r="201" spans="1:9" s="367" customFormat="1" ht="12.75" hidden="1" customHeight="1" x14ac:dyDescent="0.2">
      <c r="A201" s="617"/>
      <c r="B201" s="631"/>
      <c r="C201" s="632"/>
      <c r="D201" s="636" t="s">
        <v>498</v>
      </c>
      <c r="E201" s="621"/>
      <c r="F201" s="634"/>
      <c r="G201" s="621"/>
      <c r="H201" s="661"/>
      <c r="I201" s="649"/>
    </row>
    <row r="202" spans="1:9" s="367" customFormat="1" ht="12.75" hidden="1" customHeight="1" x14ac:dyDescent="0.2">
      <c r="A202" s="617"/>
      <c r="B202" s="631"/>
      <c r="C202" s="632"/>
      <c r="D202" s="636" t="s">
        <v>499</v>
      </c>
      <c r="E202" s="621"/>
      <c r="F202" s="634"/>
      <c r="G202" s="621"/>
      <c r="H202" s="635"/>
      <c r="I202" s="646"/>
    </row>
    <row r="203" spans="1:9" s="367" customFormat="1" ht="12.75" hidden="1" customHeight="1" x14ac:dyDescent="0.2">
      <c r="A203" s="617"/>
      <c r="B203" s="631"/>
      <c r="C203" s="639"/>
      <c r="D203" s="643" t="s">
        <v>507</v>
      </c>
      <c r="E203" s="621"/>
      <c r="F203" s="634"/>
      <c r="G203" s="621"/>
      <c r="H203" s="635"/>
      <c r="I203" s="646"/>
    </row>
    <row r="204" spans="1:9" s="367" customFormat="1" ht="12.75" hidden="1" customHeight="1" x14ac:dyDescent="0.2">
      <c r="A204" s="617"/>
      <c r="B204" s="631"/>
      <c r="C204" s="632"/>
      <c r="D204" s="665" t="s">
        <v>517</v>
      </c>
      <c r="E204" s="621"/>
      <c r="F204" s="634"/>
      <c r="G204" s="621"/>
      <c r="H204" s="661"/>
      <c r="I204" s="649"/>
    </row>
    <row r="205" spans="1:9" s="367" customFormat="1" ht="12.75" customHeight="1" x14ac:dyDescent="0.2">
      <c r="A205" s="317">
        <f>A194+1</f>
        <v>22</v>
      </c>
      <c r="B205" s="649" t="s">
        <v>254</v>
      </c>
      <c r="C205" s="650" t="s">
        <v>255</v>
      </c>
      <c r="D205" s="651" t="str">
        <f>$D$12</f>
        <v>FTE September 2025</v>
      </c>
      <c r="E205" s="628">
        <f>'3413'!$J$124</f>
        <v>286550.08</v>
      </c>
      <c r="F205" s="652"/>
      <c r="G205" s="628">
        <f>SUBTOTAL(109,E205:F212)</f>
        <v>286550.08</v>
      </c>
      <c r="H205" s="661"/>
      <c r="I205" s="649"/>
    </row>
    <row r="206" spans="1:9" s="367" customFormat="1" ht="12.75" hidden="1" customHeight="1" x14ac:dyDescent="0.2">
      <c r="A206" s="317"/>
      <c r="B206" s="649"/>
      <c r="C206" s="650"/>
      <c r="D206" s="311" t="s">
        <v>519</v>
      </c>
      <c r="E206" s="628"/>
      <c r="F206" s="652"/>
      <c r="G206" s="628"/>
      <c r="H206" s="661"/>
      <c r="I206" s="649"/>
    </row>
    <row r="207" spans="1:9" s="367" customFormat="1" ht="12.75" hidden="1" customHeight="1" x14ac:dyDescent="0.2">
      <c r="A207" s="317"/>
      <c r="B207" s="649"/>
      <c r="C207" s="650"/>
      <c r="D207" s="654" t="s">
        <v>495</v>
      </c>
      <c r="E207" s="628"/>
      <c r="F207" s="652"/>
      <c r="G207" s="628"/>
      <c r="H207" s="661"/>
      <c r="I207" s="649"/>
    </row>
    <row r="208" spans="1:9" s="367" customFormat="1" ht="12.75" hidden="1" customHeight="1" x14ac:dyDescent="0.2">
      <c r="A208" s="317"/>
      <c r="B208" s="649"/>
      <c r="C208" s="650"/>
      <c r="D208" s="311" t="s">
        <v>496</v>
      </c>
      <c r="E208" s="628"/>
      <c r="F208" s="652"/>
      <c r="G208" s="628"/>
      <c r="H208" s="661"/>
      <c r="I208" s="649"/>
    </row>
    <row r="209" spans="1:9" s="367" customFormat="1" ht="12.75" hidden="1" customHeight="1" x14ac:dyDescent="0.2">
      <c r="A209" s="317"/>
      <c r="B209" s="649"/>
      <c r="C209" s="650"/>
      <c r="D209" s="311" t="s">
        <v>497</v>
      </c>
      <c r="E209" s="628"/>
      <c r="F209" s="652"/>
      <c r="G209" s="628"/>
      <c r="H209" s="661"/>
      <c r="I209" s="649"/>
    </row>
    <row r="210" spans="1:9" s="367" customFormat="1" ht="12.75" hidden="1" customHeight="1" x14ac:dyDescent="0.2">
      <c r="A210" s="317"/>
      <c r="B210" s="649"/>
      <c r="C210" s="650"/>
      <c r="D210" s="311" t="s">
        <v>498</v>
      </c>
      <c r="E210" s="628"/>
      <c r="F210" s="652"/>
      <c r="G210" s="628"/>
      <c r="H210" s="661"/>
      <c r="I210" s="649"/>
    </row>
    <row r="211" spans="1:9" s="367" customFormat="1" ht="12.75" hidden="1" customHeight="1" x14ac:dyDescent="0.2">
      <c r="A211" s="317"/>
      <c r="B211" s="649"/>
      <c r="C211" s="650"/>
      <c r="D211" s="311" t="s">
        <v>499</v>
      </c>
      <c r="E211" s="628"/>
      <c r="F211" s="652"/>
      <c r="G211" s="628"/>
      <c r="H211" s="661"/>
      <c r="I211" s="649"/>
    </row>
    <row r="212" spans="1:9" s="367" customFormat="1" ht="12.75" hidden="1" customHeight="1" x14ac:dyDescent="0.2">
      <c r="A212" s="317"/>
      <c r="B212" s="649"/>
      <c r="C212" s="650"/>
      <c r="D212" s="658" t="s">
        <v>517</v>
      </c>
      <c r="E212" s="628"/>
      <c r="F212" s="652"/>
      <c r="G212" s="628"/>
      <c r="H212" s="635"/>
      <c r="I212" s="646"/>
    </row>
    <row r="213" spans="1:9" s="367" customFormat="1" ht="12.75" customHeight="1" x14ac:dyDescent="0.2">
      <c r="A213" s="617">
        <f>A205+1</f>
        <v>23</v>
      </c>
      <c r="B213" s="631" t="s">
        <v>256</v>
      </c>
      <c r="C213" s="632" t="s">
        <v>257</v>
      </c>
      <c r="D213" s="662" t="str">
        <f>$D$12</f>
        <v>FTE September 2025</v>
      </c>
      <c r="E213" s="621">
        <f>'3421'!$J$124</f>
        <v>322019.77</v>
      </c>
      <c r="F213" s="634"/>
      <c r="G213" s="621">
        <f>SUBTOTAL(109,E213:F223)</f>
        <v>322019.77</v>
      </c>
      <c r="H213" s="661"/>
      <c r="I213" s="644"/>
    </row>
    <row r="214" spans="1:9" s="367" customFormat="1" ht="12.75" hidden="1" customHeight="1" x14ac:dyDescent="0.2">
      <c r="A214" s="617"/>
      <c r="B214" s="631"/>
      <c r="C214" s="632"/>
      <c r="D214" s="636" t="s">
        <v>494</v>
      </c>
      <c r="E214" s="621"/>
      <c r="F214" s="634"/>
      <c r="G214" s="621"/>
      <c r="H214" s="635"/>
      <c r="I214" s="646"/>
    </row>
    <row r="215" spans="1:9" s="367" customFormat="1" ht="12.75" hidden="1" customHeight="1" x14ac:dyDescent="0.2">
      <c r="A215" s="617"/>
      <c r="B215" s="631"/>
      <c r="C215" s="632"/>
      <c r="D215" s="637" t="s">
        <v>532</v>
      </c>
      <c r="E215" s="621"/>
      <c r="F215" s="634"/>
      <c r="G215" s="621"/>
      <c r="H215" s="661"/>
      <c r="I215" s="649"/>
    </row>
    <row r="216" spans="1:9" s="367" customFormat="1" ht="12.75" hidden="1" customHeight="1" x14ac:dyDescent="0.2">
      <c r="A216" s="617"/>
      <c r="B216" s="631"/>
      <c r="C216" s="632"/>
      <c r="D216" s="636" t="s">
        <v>520</v>
      </c>
      <c r="E216" s="621"/>
      <c r="F216" s="634"/>
      <c r="G216" s="621"/>
      <c r="H216" s="661"/>
      <c r="I216" s="649"/>
    </row>
    <row r="217" spans="1:9" s="367" customFormat="1" ht="12.75" hidden="1" customHeight="1" x14ac:dyDescent="0.2">
      <c r="A217" s="617"/>
      <c r="B217" s="631"/>
      <c r="C217" s="632"/>
      <c r="D217" s="636" t="s">
        <v>531</v>
      </c>
      <c r="E217" s="621"/>
      <c r="F217" s="634"/>
      <c r="G217" s="621"/>
      <c r="H217" s="635"/>
      <c r="I217" s="657"/>
    </row>
    <row r="218" spans="1:9" s="367" customFormat="1" ht="12.75" hidden="1" customHeight="1" x14ac:dyDescent="0.2">
      <c r="A218" s="617"/>
      <c r="B218" s="631"/>
      <c r="C218" s="632"/>
      <c r="D218" s="636" t="s">
        <v>496</v>
      </c>
      <c r="E218" s="621"/>
      <c r="F218" s="634"/>
      <c r="G218" s="621"/>
      <c r="H218" s="661"/>
    </row>
    <row r="219" spans="1:9" s="367" customFormat="1" ht="12.75" hidden="1" customHeight="1" x14ac:dyDescent="0.2">
      <c r="A219" s="617"/>
      <c r="B219" s="631"/>
      <c r="C219" s="632"/>
      <c r="D219" s="636" t="s">
        <v>497</v>
      </c>
      <c r="E219" s="621"/>
      <c r="F219" s="634"/>
      <c r="G219" s="621"/>
      <c r="H219" s="661"/>
    </row>
    <row r="220" spans="1:9" s="367" customFormat="1" ht="12.75" hidden="1" customHeight="1" x14ac:dyDescent="0.2">
      <c r="A220" s="617"/>
      <c r="B220" s="631"/>
      <c r="C220" s="632"/>
      <c r="D220" s="636" t="s">
        <v>498</v>
      </c>
      <c r="E220" s="621"/>
      <c r="F220" s="634"/>
      <c r="G220" s="621"/>
      <c r="H220" s="661"/>
    </row>
    <row r="221" spans="1:9" s="367" customFormat="1" ht="12.75" hidden="1" customHeight="1" x14ac:dyDescent="0.2">
      <c r="A221" s="617"/>
      <c r="B221" s="631"/>
      <c r="C221" s="632"/>
      <c r="D221" s="636" t="s">
        <v>499</v>
      </c>
      <c r="E221" s="621"/>
      <c r="F221" s="634"/>
      <c r="G221" s="621"/>
      <c r="H221" s="635"/>
      <c r="I221" s="646"/>
    </row>
    <row r="222" spans="1:9" s="367" customFormat="1" ht="12.75" hidden="1" customHeight="1" x14ac:dyDescent="0.2">
      <c r="A222" s="617"/>
      <c r="B222" s="631"/>
      <c r="C222" s="639"/>
      <c r="D222" s="643" t="s">
        <v>507</v>
      </c>
      <c r="E222" s="621"/>
      <c r="F222" s="634"/>
      <c r="G222" s="621"/>
      <c r="H222" s="635"/>
      <c r="I222" s="646"/>
    </row>
    <row r="223" spans="1:9" s="367" customFormat="1" ht="12.75" hidden="1" customHeight="1" x14ac:dyDescent="0.2">
      <c r="A223" s="617"/>
      <c r="B223" s="631"/>
      <c r="C223" s="632"/>
      <c r="D223" s="665" t="s">
        <v>517</v>
      </c>
      <c r="E223" s="621"/>
      <c r="F223" s="634"/>
      <c r="G223" s="621"/>
      <c r="H223" s="661"/>
    </row>
    <row r="224" spans="1:9" s="367" customFormat="1" ht="12.75" customHeight="1" x14ac:dyDescent="0.2">
      <c r="A224" s="317">
        <f>A213+1</f>
        <v>24</v>
      </c>
      <c r="B224" s="649" t="s">
        <v>258</v>
      </c>
      <c r="C224" s="650" t="s">
        <v>259</v>
      </c>
      <c r="D224" s="651" t="str">
        <f>$D$12</f>
        <v>FTE September 2025</v>
      </c>
      <c r="E224" s="628">
        <f>'3431'!$J$124</f>
        <v>737684.93</v>
      </c>
      <c r="F224" s="652"/>
      <c r="G224" s="628">
        <f>SUBTOTAL(109,E224:F233)</f>
        <v>737684.93</v>
      </c>
      <c r="H224" s="661"/>
    </row>
    <row r="225" spans="1:9" s="367" customFormat="1" ht="12.75" hidden="1" customHeight="1" x14ac:dyDescent="0.2">
      <c r="A225" s="317"/>
      <c r="B225" s="649"/>
      <c r="C225" s="650"/>
      <c r="D225" s="311" t="s">
        <v>519</v>
      </c>
      <c r="E225" s="628"/>
      <c r="F225" s="652"/>
      <c r="G225" s="628"/>
      <c r="H225" s="661"/>
      <c r="I225" s="649"/>
    </row>
    <row r="226" spans="1:9" s="367" customFormat="1" ht="12.75" hidden="1" customHeight="1" x14ac:dyDescent="0.2">
      <c r="A226" s="317"/>
      <c r="B226" s="649"/>
      <c r="C226" s="650"/>
      <c r="D226" s="654" t="s">
        <v>495</v>
      </c>
      <c r="E226" s="628"/>
      <c r="F226" s="652"/>
      <c r="G226" s="628"/>
      <c r="H226" s="661"/>
      <c r="I226" s="649"/>
    </row>
    <row r="227" spans="1:9" s="367" customFormat="1" ht="12.75" hidden="1" customHeight="1" x14ac:dyDescent="0.2">
      <c r="A227" s="317"/>
      <c r="B227" s="649"/>
      <c r="C227" s="650"/>
      <c r="D227" s="311" t="s">
        <v>496</v>
      </c>
      <c r="E227" s="628"/>
      <c r="F227" s="652"/>
      <c r="G227" s="628"/>
      <c r="H227" s="661"/>
      <c r="I227" s="649"/>
    </row>
    <row r="228" spans="1:9" s="367" customFormat="1" ht="12.75" hidden="1" customHeight="1" x14ac:dyDescent="0.2">
      <c r="A228" s="317"/>
      <c r="B228" s="649"/>
      <c r="C228" s="650"/>
      <c r="D228" s="311" t="s">
        <v>522</v>
      </c>
      <c r="E228" s="628"/>
      <c r="F228" s="652"/>
      <c r="G228" s="628"/>
      <c r="H228" s="661"/>
    </row>
    <row r="229" spans="1:9" s="367" customFormat="1" ht="12.75" hidden="1" customHeight="1" x14ac:dyDescent="0.2">
      <c r="A229" s="317"/>
      <c r="B229" s="649"/>
      <c r="C229" s="650"/>
      <c r="D229" s="311" t="s">
        <v>498</v>
      </c>
      <c r="E229" s="628"/>
      <c r="F229" s="652"/>
      <c r="G229" s="628"/>
      <c r="H229" s="661"/>
      <c r="I229" s="649"/>
    </row>
    <row r="230" spans="1:9" s="367" customFormat="1" ht="12.75" hidden="1" customHeight="1" x14ac:dyDescent="0.2">
      <c r="A230" s="317"/>
      <c r="B230" s="649"/>
      <c r="C230" s="650"/>
      <c r="D230" s="311" t="s">
        <v>499</v>
      </c>
      <c r="E230" s="628"/>
      <c r="F230" s="652"/>
      <c r="G230" s="628"/>
      <c r="H230" s="661"/>
    </row>
    <row r="231" spans="1:9" s="367" customFormat="1" ht="12.75" hidden="1" customHeight="1" x14ac:dyDescent="0.2">
      <c r="A231" s="317"/>
      <c r="B231" s="649"/>
      <c r="C231" s="650"/>
      <c r="D231" s="311" t="s">
        <v>523</v>
      </c>
      <c r="E231" s="628"/>
      <c r="F231" s="652"/>
      <c r="G231" s="628"/>
      <c r="H231" s="635"/>
      <c r="I231" s="646"/>
    </row>
    <row r="232" spans="1:9" s="367" customFormat="1" ht="12.75" hidden="1" customHeight="1" x14ac:dyDescent="0.2">
      <c r="A232" s="317"/>
      <c r="B232" s="649"/>
      <c r="C232" s="657"/>
      <c r="D232" s="660" t="s">
        <v>507</v>
      </c>
      <c r="E232" s="628"/>
      <c r="F232" s="652"/>
      <c r="G232" s="628"/>
      <c r="H232" s="661"/>
      <c r="I232" s="644"/>
    </row>
    <row r="233" spans="1:9" s="367" customFormat="1" ht="12.75" hidden="1" customHeight="1" x14ac:dyDescent="0.2">
      <c r="A233" s="317"/>
      <c r="B233" s="649"/>
      <c r="C233" s="650"/>
      <c r="D233" s="658" t="s">
        <v>533</v>
      </c>
      <c r="E233" s="628"/>
      <c r="F233" s="652"/>
      <c r="G233" s="628"/>
      <c r="H233" s="635"/>
      <c r="I233" s="646"/>
    </row>
    <row r="234" spans="1:9" s="367" customFormat="1" ht="12.75" customHeight="1" x14ac:dyDescent="0.2">
      <c r="A234" s="617">
        <f>A224+1</f>
        <v>25</v>
      </c>
      <c r="B234" s="631">
        <v>3441</v>
      </c>
      <c r="C234" s="663" t="s">
        <v>260</v>
      </c>
      <c r="D234" s="662" t="str">
        <f>$D$12</f>
        <v>FTE September 2025</v>
      </c>
      <c r="E234" s="621">
        <f>'3441'!$J$124</f>
        <v>380953.21</v>
      </c>
      <c r="F234" s="634"/>
      <c r="G234" s="621">
        <f>SUBTOTAL(109,E234:F242)</f>
        <v>380953.21</v>
      </c>
      <c r="H234" s="661"/>
    </row>
    <row r="235" spans="1:9" s="367" customFormat="1" ht="12.75" hidden="1" customHeight="1" x14ac:dyDescent="0.2">
      <c r="A235" s="617"/>
      <c r="B235" s="631"/>
      <c r="C235" s="663"/>
      <c r="D235" s="636" t="s">
        <v>494</v>
      </c>
      <c r="E235" s="621"/>
      <c r="F235" s="634"/>
      <c r="G235" s="621"/>
      <c r="H235" s="661"/>
    </row>
    <row r="236" spans="1:9" s="367" customFormat="1" ht="12.75" hidden="1" customHeight="1" x14ac:dyDescent="0.2">
      <c r="A236" s="617"/>
      <c r="B236" s="631"/>
      <c r="C236" s="632"/>
      <c r="D236" s="637" t="s">
        <v>495</v>
      </c>
      <c r="E236" s="621"/>
      <c r="F236" s="634"/>
      <c r="G236" s="621"/>
      <c r="H236" s="661"/>
      <c r="I236" s="649"/>
    </row>
    <row r="237" spans="1:9" s="367" customFormat="1" ht="12.75" hidden="1" customHeight="1" x14ac:dyDescent="0.2">
      <c r="A237" s="617"/>
      <c r="B237" s="631"/>
      <c r="C237" s="663"/>
      <c r="D237" s="636" t="s">
        <v>496</v>
      </c>
      <c r="E237" s="621"/>
      <c r="F237" s="634"/>
      <c r="G237" s="621"/>
      <c r="H237" s="661"/>
    </row>
    <row r="238" spans="1:9" s="367" customFormat="1" ht="12.75" hidden="1" customHeight="1" x14ac:dyDescent="0.2">
      <c r="A238" s="617"/>
      <c r="B238" s="631"/>
      <c r="C238" s="632"/>
      <c r="D238" s="636" t="s">
        <v>497</v>
      </c>
      <c r="E238" s="621"/>
      <c r="F238" s="634"/>
      <c r="G238" s="621"/>
      <c r="H238" s="661"/>
      <c r="I238" s="649"/>
    </row>
    <row r="239" spans="1:9" s="367" customFormat="1" ht="12.75" hidden="1" customHeight="1" x14ac:dyDescent="0.2">
      <c r="A239" s="617"/>
      <c r="B239" s="631"/>
      <c r="C239" s="632"/>
      <c r="D239" s="636" t="s">
        <v>498</v>
      </c>
      <c r="E239" s="621"/>
      <c r="F239" s="634"/>
      <c r="G239" s="621"/>
      <c r="H239" s="661"/>
      <c r="I239" s="649"/>
    </row>
    <row r="240" spans="1:9" s="367" customFormat="1" ht="12.75" hidden="1" customHeight="1" x14ac:dyDescent="0.2">
      <c r="A240" s="617"/>
      <c r="B240" s="631"/>
      <c r="C240" s="632"/>
      <c r="D240" s="636" t="s">
        <v>499</v>
      </c>
      <c r="E240" s="621"/>
      <c r="F240" s="634"/>
      <c r="G240" s="621"/>
      <c r="H240" s="661"/>
      <c r="I240" s="646"/>
    </row>
    <row r="241" spans="1:9" s="367" customFormat="1" ht="12.75" hidden="1" customHeight="1" x14ac:dyDescent="0.2">
      <c r="A241" s="617"/>
      <c r="B241" s="631"/>
      <c r="C241" s="632"/>
      <c r="D241" s="636" t="s">
        <v>523</v>
      </c>
      <c r="E241" s="621"/>
      <c r="F241" s="634"/>
      <c r="G241" s="621"/>
      <c r="H241" s="661"/>
      <c r="I241" s="667"/>
    </row>
    <row r="242" spans="1:9" s="367" customFormat="1" ht="12.75" hidden="1" customHeight="1" x14ac:dyDescent="0.2">
      <c r="A242" s="617"/>
      <c r="B242" s="631"/>
      <c r="C242" s="632"/>
      <c r="D242" s="665" t="s">
        <v>517</v>
      </c>
      <c r="E242" s="621"/>
      <c r="F242" s="634"/>
      <c r="G242" s="621"/>
      <c r="H242" s="661"/>
      <c r="I242" s="644"/>
    </row>
    <row r="243" spans="1:9" s="367" customFormat="1" ht="12.75" customHeight="1" x14ac:dyDescent="0.2">
      <c r="A243" s="317">
        <f>A234+1</f>
        <v>26</v>
      </c>
      <c r="B243" s="649">
        <v>3924</v>
      </c>
      <c r="C243" s="664" t="s">
        <v>261</v>
      </c>
      <c r="D243" s="651" t="str">
        <f>$D$12</f>
        <v>FTE September 2025</v>
      </c>
      <c r="E243" s="628">
        <f>'3924'!$J$124</f>
        <v>309424.3</v>
      </c>
      <c r="F243" s="652"/>
      <c r="G243" s="628">
        <f>SUBTOTAL(109,E243:F252)</f>
        <v>309424.3</v>
      </c>
      <c r="H243" s="661"/>
    </row>
    <row r="244" spans="1:9" s="367" customFormat="1" ht="12.75" hidden="1" customHeight="1" x14ac:dyDescent="0.2">
      <c r="A244" s="317"/>
      <c r="B244" s="649"/>
      <c r="C244" s="650"/>
      <c r="D244" s="311" t="s">
        <v>519</v>
      </c>
      <c r="E244" s="628"/>
      <c r="F244" s="652"/>
      <c r="G244" s="628"/>
      <c r="H244" s="661"/>
    </row>
    <row r="245" spans="1:9" s="367" customFormat="1" ht="12.75" hidden="1" customHeight="1" x14ac:dyDescent="0.2">
      <c r="A245" s="317"/>
      <c r="B245" s="649"/>
      <c r="C245" s="650"/>
      <c r="D245" s="654" t="s">
        <v>495</v>
      </c>
      <c r="E245" s="628"/>
      <c r="F245" s="652"/>
      <c r="G245" s="628"/>
      <c r="H245" s="661"/>
    </row>
    <row r="246" spans="1:9" s="367" customFormat="1" ht="12.75" hidden="1" customHeight="1" x14ac:dyDescent="0.2">
      <c r="A246" s="317"/>
      <c r="B246" s="649"/>
      <c r="C246" s="650"/>
      <c r="D246" s="654" t="s">
        <v>515</v>
      </c>
      <c r="E246" s="628"/>
      <c r="F246" s="652"/>
      <c r="G246" s="628"/>
      <c r="H246" s="635"/>
      <c r="I246" s="657"/>
    </row>
    <row r="247" spans="1:9" s="367" customFormat="1" ht="12.75" hidden="1" customHeight="1" x14ac:dyDescent="0.2">
      <c r="A247" s="317"/>
      <c r="B247" s="649"/>
      <c r="C247" s="650"/>
      <c r="D247" s="311" t="s">
        <v>496</v>
      </c>
      <c r="E247" s="628"/>
      <c r="F247" s="652"/>
      <c r="G247" s="628"/>
      <c r="H247" s="661"/>
    </row>
    <row r="248" spans="1:9" s="367" customFormat="1" ht="12.75" hidden="1" customHeight="1" x14ac:dyDescent="0.2">
      <c r="A248" s="317"/>
      <c r="B248" s="649"/>
      <c r="C248" s="650"/>
      <c r="D248" s="311" t="s">
        <v>497</v>
      </c>
      <c r="E248" s="628"/>
      <c r="F248" s="652"/>
      <c r="G248" s="628"/>
      <c r="H248" s="661"/>
    </row>
    <row r="249" spans="1:9" s="367" customFormat="1" ht="12.75" hidden="1" customHeight="1" x14ac:dyDescent="0.2">
      <c r="A249" s="317"/>
      <c r="B249" s="649"/>
      <c r="C249" s="650"/>
      <c r="D249" s="311" t="s">
        <v>498</v>
      </c>
      <c r="E249" s="628"/>
      <c r="F249" s="652"/>
      <c r="G249" s="628"/>
      <c r="H249" s="661"/>
      <c r="I249" s="649"/>
    </row>
    <row r="250" spans="1:9" s="367" customFormat="1" ht="12.75" hidden="1" customHeight="1" x14ac:dyDescent="0.2">
      <c r="A250" s="317"/>
      <c r="B250" s="649"/>
      <c r="C250" s="650"/>
      <c r="D250" s="311" t="s">
        <v>499</v>
      </c>
      <c r="E250" s="628"/>
      <c r="F250" s="652"/>
      <c r="G250" s="628"/>
      <c r="H250" s="635"/>
      <c r="I250" s="646"/>
    </row>
    <row r="251" spans="1:9" s="367" customFormat="1" ht="12.75" hidden="1" customHeight="1" x14ac:dyDescent="0.2">
      <c r="A251" s="317"/>
      <c r="B251" s="649"/>
      <c r="C251" s="657"/>
      <c r="D251" s="660" t="s">
        <v>507</v>
      </c>
      <c r="E251" s="628"/>
      <c r="F251" s="652"/>
      <c r="G251" s="628"/>
      <c r="H251" s="661"/>
    </row>
    <row r="252" spans="1:9" s="367" customFormat="1" ht="12.75" hidden="1" customHeight="1" x14ac:dyDescent="0.2">
      <c r="A252" s="317"/>
      <c r="B252" s="649"/>
      <c r="C252" s="650"/>
      <c r="D252" s="658" t="s">
        <v>534</v>
      </c>
      <c r="E252" s="628"/>
      <c r="F252" s="652"/>
      <c r="G252" s="628"/>
      <c r="H252" s="661"/>
    </row>
    <row r="253" spans="1:9" s="367" customFormat="1" ht="12.75" customHeight="1" x14ac:dyDescent="0.2">
      <c r="A253" s="617">
        <f>A243+1</f>
        <v>27</v>
      </c>
      <c r="B253" s="631" t="s">
        <v>262</v>
      </c>
      <c r="C253" s="632" t="s">
        <v>263</v>
      </c>
      <c r="D253" s="662" t="str">
        <f>$D$12</f>
        <v>FTE September 2025</v>
      </c>
      <c r="E253" s="621">
        <f>'3941'!$J$124</f>
        <v>168521.9</v>
      </c>
      <c r="F253" s="634"/>
      <c r="G253" s="621">
        <f>SUBTOTAL(109,E253:F262)</f>
        <v>168521.9</v>
      </c>
      <c r="H253" s="661"/>
    </row>
    <row r="254" spans="1:9" s="367" customFormat="1" ht="12.75" hidden="1" customHeight="1" x14ac:dyDescent="0.2">
      <c r="A254" s="617"/>
      <c r="B254" s="631"/>
      <c r="C254" s="632"/>
      <c r="D254" s="636" t="s">
        <v>494</v>
      </c>
      <c r="E254" s="621"/>
      <c r="F254" s="634"/>
      <c r="G254" s="621"/>
      <c r="H254" s="661"/>
    </row>
    <row r="255" spans="1:9" s="367" customFormat="1" ht="12.75" hidden="1" customHeight="1" x14ac:dyDescent="0.2">
      <c r="A255" s="617"/>
      <c r="B255" s="631"/>
      <c r="C255" s="632"/>
      <c r="D255" s="637" t="s">
        <v>495</v>
      </c>
      <c r="E255" s="621"/>
      <c r="F255" s="634"/>
      <c r="G255" s="621"/>
      <c r="H255" s="661"/>
      <c r="I255" s="649"/>
    </row>
    <row r="256" spans="1:9" s="367" customFormat="1" ht="12.75" hidden="1" customHeight="1" x14ac:dyDescent="0.2">
      <c r="A256" s="617"/>
      <c r="B256" s="631"/>
      <c r="C256" s="632"/>
      <c r="D256" s="636" t="s">
        <v>496</v>
      </c>
      <c r="E256" s="621"/>
      <c r="F256" s="634"/>
      <c r="G256" s="621"/>
      <c r="H256" s="661"/>
      <c r="I256" s="649"/>
    </row>
    <row r="257" spans="1:9" s="367" customFormat="1" ht="12.75" hidden="1" customHeight="1" x14ac:dyDescent="0.2">
      <c r="A257" s="617"/>
      <c r="B257" s="631"/>
      <c r="C257" s="632"/>
      <c r="D257" s="636" t="s">
        <v>497</v>
      </c>
      <c r="E257" s="621"/>
      <c r="F257" s="634"/>
      <c r="G257" s="621"/>
      <c r="H257" s="661"/>
    </row>
    <row r="258" spans="1:9" s="367" customFormat="1" ht="12.75" hidden="1" customHeight="1" x14ac:dyDescent="0.2">
      <c r="A258" s="617"/>
      <c r="B258" s="631"/>
      <c r="C258" s="632"/>
      <c r="D258" s="636" t="s">
        <v>498</v>
      </c>
      <c r="E258" s="621"/>
      <c r="F258" s="634"/>
      <c r="G258" s="621"/>
      <c r="H258" s="661"/>
    </row>
    <row r="259" spans="1:9" s="367" customFormat="1" ht="12.75" hidden="1" customHeight="1" x14ac:dyDescent="0.2">
      <c r="A259" s="617"/>
      <c r="B259" s="631"/>
      <c r="C259" s="632"/>
      <c r="D259" s="636" t="s">
        <v>499</v>
      </c>
      <c r="E259" s="621"/>
      <c r="F259" s="634"/>
      <c r="G259" s="621"/>
      <c r="H259" s="661"/>
    </row>
    <row r="260" spans="1:9" s="367" customFormat="1" ht="12.75" hidden="1" customHeight="1" x14ac:dyDescent="0.2">
      <c r="A260" s="617"/>
      <c r="B260" s="631"/>
      <c r="C260" s="632"/>
      <c r="D260" s="636" t="s">
        <v>535</v>
      </c>
      <c r="E260" s="621"/>
      <c r="F260" s="634"/>
      <c r="G260" s="621"/>
      <c r="H260" s="661"/>
      <c r="I260" s="646"/>
    </row>
    <row r="261" spans="1:9" s="367" customFormat="1" ht="12.75" hidden="1" customHeight="1" x14ac:dyDescent="0.2">
      <c r="A261" s="617"/>
      <c r="B261" s="631"/>
      <c r="C261" s="632"/>
      <c r="D261" s="636" t="s">
        <v>507</v>
      </c>
      <c r="E261" s="621"/>
      <c r="F261" s="634"/>
      <c r="G261" s="621"/>
      <c r="H261" s="661"/>
      <c r="I261" s="644"/>
    </row>
    <row r="262" spans="1:9" s="367" customFormat="1" ht="12.75" hidden="1" customHeight="1" x14ac:dyDescent="0.2">
      <c r="A262" s="617"/>
      <c r="B262" s="631"/>
      <c r="C262" s="632"/>
      <c r="D262" s="636"/>
      <c r="E262" s="621"/>
      <c r="F262" s="634"/>
      <c r="G262" s="621"/>
      <c r="H262" s="661"/>
      <c r="I262" s="646"/>
    </row>
    <row r="263" spans="1:9" s="367" customFormat="1" ht="12.75" customHeight="1" x14ac:dyDescent="0.2">
      <c r="A263" s="317">
        <f>A253+1</f>
        <v>28</v>
      </c>
      <c r="B263" s="649" t="s">
        <v>264</v>
      </c>
      <c r="C263" s="650" t="s">
        <v>265</v>
      </c>
      <c r="D263" s="651" t="str">
        <f>$D$12</f>
        <v>FTE September 2025</v>
      </c>
      <c r="E263" s="628">
        <f>'3961'!$J$124</f>
        <v>0</v>
      </c>
      <c r="F263" s="652"/>
      <c r="G263" s="628">
        <f>SUBTOTAL(109,E263:F270)</f>
        <v>0</v>
      </c>
      <c r="H263" s="661"/>
    </row>
    <row r="264" spans="1:9" s="367" customFormat="1" ht="12.75" hidden="1" customHeight="1" x14ac:dyDescent="0.2">
      <c r="A264" s="317"/>
      <c r="B264" s="649"/>
      <c r="C264" s="650"/>
      <c r="D264" s="311" t="s">
        <v>519</v>
      </c>
      <c r="E264" s="628"/>
      <c r="F264" s="652"/>
      <c r="G264" s="628"/>
      <c r="H264" s="661"/>
    </row>
    <row r="265" spans="1:9" s="367" customFormat="1" ht="12.75" hidden="1" customHeight="1" x14ac:dyDescent="0.2">
      <c r="A265" s="317"/>
      <c r="B265" s="649"/>
      <c r="C265" s="650"/>
      <c r="D265" s="654" t="s">
        <v>495</v>
      </c>
      <c r="E265" s="628"/>
      <c r="F265" s="652"/>
      <c r="G265" s="628"/>
      <c r="H265" s="661"/>
      <c r="I265" s="649"/>
    </row>
    <row r="266" spans="1:9" s="367" customFormat="1" ht="12.75" hidden="1" customHeight="1" x14ac:dyDescent="0.2">
      <c r="A266" s="317"/>
      <c r="B266" s="649"/>
      <c r="C266" s="650"/>
      <c r="D266" s="311" t="s">
        <v>496</v>
      </c>
      <c r="E266" s="628"/>
      <c r="F266" s="652"/>
      <c r="G266" s="628"/>
      <c r="H266" s="661"/>
    </row>
    <row r="267" spans="1:9" s="367" customFormat="1" ht="12.75" hidden="1" customHeight="1" x14ac:dyDescent="0.2">
      <c r="A267" s="317"/>
      <c r="B267" s="649"/>
      <c r="C267" s="650"/>
      <c r="D267" s="311" t="s">
        <v>497</v>
      </c>
      <c r="E267" s="628"/>
      <c r="F267" s="652"/>
      <c r="G267" s="628"/>
      <c r="H267" s="661"/>
    </row>
    <row r="268" spans="1:9" s="367" customFormat="1" ht="12.75" hidden="1" customHeight="1" x14ac:dyDescent="0.2">
      <c r="A268" s="317"/>
      <c r="B268" s="649"/>
      <c r="C268" s="650"/>
      <c r="D268" s="311" t="s">
        <v>498</v>
      </c>
      <c r="E268" s="628"/>
      <c r="F268" s="652"/>
      <c r="G268" s="628"/>
      <c r="H268" s="661"/>
    </row>
    <row r="269" spans="1:9" s="367" customFormat="1" ht="12.75" hidden="1" customHeight="1" x14ac:dyDescent="0.2">
      <c r="A269" s="317"/>
      <c r="B269" s="649"/>
      <c r="C269" s="650"/>
      <c r="D269" s="311" t="s">
        <v>499</v>
      </c>
      <c r="E269" s="628"/>
      <c r="F269" s="652"/>
      <c r="G269" s="628"/>
      <c r="H269" s="635"/>
      <c r="I269" s="646"/>
    </row>
    <row r="270" spans="1:9" s="367" customFormat="1" ht="12.75" hidden="1" customHeight="1" x14ac:dyDescent="0.2">
      <c r="A270" s="317"/>
      <c r="B270" s="649"/>
      <c r="C270" s="657"/>
      <c r="D270" s="658" t="s">
        <v>536</v>
      </c>
      <c r="E270" s="628"/>
      <c r="F270" s="652"/>
      <c r="G270" s="628"/>
      <c r="H270" s="635"/>
      <c r="I270" s="646"/>
    </row>
    <row r="271" spans="1:9" s="367" customFormat="1" ht="12.75" customHeight="1" x14ac:dyDescent="0.2">
      <c r="A271" s="617">
        <f>A263+1</f>
        <v>29</v>
      </c>
      <c r="B271" s="631" t="s">
        <v>266</v>
      </c>
      <c r="C271" s="632" t="s">
        <v>267</v>
      </c>
      <c r="D271" s="662" t="str">
        <f>$D$12</f>
        <v>FTE September 2025</v>
      </c>
      <c r="E271" s="621">
        <f>'3971'!$J$124</f>
        <v>426358.86</v>
      </c>
      <c r="F271" s="634"/>
      <c r="G271" s="621">
        <f>SUBTOTAL(109,E271:F278)</f>
        <v>426358.86</v>
      </c>
      <c r="H271" s="635"/>
      <c r="I271" s="646"/>
    </row>
    <row r="272" spans="1:9" s="367" customFormat="1" ht="12.75" hidden="1" customHeight="1" x14ac:dyDescent="0.2">
      <c r="A272" s="617"/>
      <c r="B272" s="631"/>
      <c r="C272" s="632"/>
      <c r="D272" s="636" t="s">
        <v>494</v>
      </c>
      <c r="E272" s="621"/>
      <c r="F272" s="634"/>
      <c r="G272" s="621"/>
      <c r="H272" s="661"/>
    </row>
    <row r="273" spans="1:9" s="367" customFormat="1" ht="12.75" hidden="1" customHeight="1" x14ac:dyDescent="0.2">
      <c r="A273" s="617"/>
      <c r="B273" s="631"/>
      <c r="C273" s="632"/>
      <c r="D273" s="637" t="s">
        <v>495</v>
      </c>
      <c r="E273" s="621"/>
      <c r="F273" s="634"/>
      <c r="G273" s="621"/>
      <c r="H273" s="661"/>
    </row>
    <row r="274" spans="1:9" s="367" customFormat="1" ht="12.75" hidden="1" customHeight="1" x14ac:dyDescent="0.2">
      <c r="A274" s="617"/>
      <c r="B274" s="631"/>
      <c r="C274" s="632"/>
      <c r="D274" s="636" t="s">
        <v>496</v>
      </c>
      <c r="E274" s="621"/>
      <c r="F274" s="634"/>
      <c r="G274" s="621"/>
      <c r="H274" s="661"/>
    </row>
    <row r="275" spans="1:9" s="367" customFormat="1" ht="12.75" hidden="1" customHeight="1" x14ac:dyDescent="0.2">
      <c r="A275" s="617"/>
      <c r="B275" s="631"/>
      <c r="C275" s="632"/>
      <c r="D275" s="636" t="s">
        <v>497</v>
      </c>
      <c r="E275" s="621"/>
      <c r="F275" s="634"/>
      <c r="G275" s="621"/>
      <c r="H275" s="661"/>
      <c r="I275" s="649"/>
    </row>
    <row r="276" spans="1:9" s="367" customFormat="1" ht="12.75" hidden="1" customHeight="1" x14ac:dyDescent="0.2">
      <c r="A276" s="617"/>
      <c r="B276" s="631"/>
      <c r="C276" s="632"/>
      <c r="D276" s="636" t="s">
        <v>498</v>
      </c>
      <c r="E276" s="621"/>
      <c r="F276" s="634"/>
      <c r="G276" s="621"/>
      <c r="H276" s="661"/>
    </row>
    <row r="277" spans="1:9" s="367" customFormat="1" ht="12.75" hidden="1" customHeight="1" x14ac:dyDescent="0.2">
      <c r="A277" s="617"/>
      <c r="B277" s="631"/>
      <c r="C277" s="632"/>
      <c r="D277" s="636" t="s">
        <v>499</v>
      </c>
      <c r="E277" s="621"/>
      <c r="F277" s="634"/>
      <c r="G277" s="621"/>
      <c r="H277" s="661"/>
    </row>
    <row r="278" spans="1:9" s="367" customFormat="1" ht="12.75" hidden="1" customHeight="1" x14ac:dyDescent="0.2">
      <c r="A278" s="617"/>
      <c r="B278" s="631"/>
      <c r="C278" s="632"/>
      <c r="D278" s="665" t="s">
        <v>537</v>
      </c>
      <c r="E278" s="621"/>
      <c r="F278" s="634"/>
      <c r="G278" s="621"/>
      <c r="H278" s="661"/>
      <c r="I278" s="309"/>
    </row>
    <row r="279" spans="1:9" s="367" customFormat="1" ht="12.75" customHeight="1" x14ac:dyDescent="0.2">
      <c r="A279" s="317">
        <f>A271+1</f>
        <v>30</v>
      </c>
      <c r="B279" s="649" t="s">
        <v>268</v>
      </c>
      <c r="C279" s="650" t="s">
        <v>269</v>
      </c>
      <c r="D279" s="651" t="str">
        <f>$D$12</f>
        <v>FTE September 2025</v>
      </c>
      <c r="E279" s="671">
        <f>'4001'!$J$124</f>
        <v>493503.4</v>
      </c>
      <c r="F279" s="652"/>
      <c r="G279" s="628">
        <f>SUBTOTAL(109,E279:F287)</f>
        <v>493503.4</v>
      </c>
      <c r="H279" s="661"/>
      <c r="I279" s="646"/>
    </row>
    <row r="280" spans="1:9" ht="12.75" hidden="1" customHeight="1" x14ac:dyDescent="0.2">
      <c r="A280" s="317"/>
      <c r="B280" s="649"/>
      <c r="C280" s="650"/>
      <c r="D280" s="311" t="s">
        <v>519</v>
      </c>
      <c r="E280" s="628"/>
      <c r="F280" s="672"/>
      <c r="G280" s="628"/>
      <c r="H280" s="666"/>
      <c r="I280" s="367"/>
    </row>
    <row r="281" spans="1:9" s="367" customFormat="1" ht="12.75" hidden="1" customHeight="1" x14ac:dyDescent="0.2">
      <c r="A281" s="317"/>
      <c r="B281" s="649"/>
      <c r="C281" s="650"/>
      <c r="D281" s="654" t="s">
        <v>495</v>
      </c>
      <c r="E281" s="628"/>
      <c r="F281" s="652"/>
      <c r="G281" s="628"/>
      <c r="H281" s="661"/>
    </row>
    <row r="282" spans="1:9" s="367" customFormat="1" ht="12.75" hidden="1" customHeight="1" x14ac:dyDescent="0.2">
      <c r="A282" s="317"/>
      <c r="B282" s="649"/>
      <c r="C282" s="650"/>
      <c r="D282" s="311" t="s">
        <v>496</v>
      </c>
      <c r="E282" s="628"/>
      <c r="F282" s="652"/>
      <c r="G282" s="628"/>
      <c r="H282" s="661"/>
    </row>
    <row r="283" spans="1:9" s="367" customFormat="1" ht="12.75" hidden="1" customHeight="1" x14ac:dyDescent="0.2">
      <c r="A283" s="317"/>
      <c r="B283" s="649"/>
      <c r="C283" s="650"/>
      <c r="D283" s="311" t="s">
        <v>497</v>
      </c>
      <c r="E283" s="628"/>
      <c r="F283" s="652"/>
      <c r="G283" s="628"/>
      <c r="H283" s="661"/>
      <c r="I283" s="649"/>
    </row>
    <row r="284" spans="1:9" s="367" customFormat="1" ht="12.75" hidden="1" customHeight="1" x14ac:dyDescent="0.2">
      <c r="A284" s="317"/>
      <c r="B284" s="649"/>
      <c r="C284" s="650"/>
      <c r="D284" s="311" t="s">
        <v>498</v>
      </c>
      <c r="E284" s="628"/>
      <c r="F284" s="652"/>
      <c r="G284" s="628"/>
      <c r="H284" s="661"/>
    </row>
    <row r="285" spans="1:9" s="367" customFormat="1" ht="12.75" hidden="1" customHeight="1" x14ac:dyDescent="0.2">
      <c r="A285" s="317"/>
      <c r="B285" s="649"/>
      <c r="C285" s="650"/>
      <c r="D285" s="311" t="s">
        <v>499</v>
      </c>
      <c r="E285" s="628"/>
      <c r="F285" s="652"/>
      <c r="G285" s="628"/>
      <c r="H285" s="661"/>
    </row>
    <row r="286" spans="1:9" s="367" customFormat="1" ht="12.75" hidden="1" customHeight="1" x14ac:dyDescent="0.2">
      <c r="A286" s="317"/>
      <c r="B286" s="649"/>
      <c r="C286" s="650"/>
      <c r="D286" s="311" t="s">
        <v>507</v>
      </c>
      <c r="E286" s="628"/>
      <c r="F286" s="652"/>
      <c r="G286" s="628"/>
      <c r="H286" s="661"/>
    </row>
    <row r="287" spans="1:9" s="367" customFormat="1" ht="12.75" hidden="1" customHeight="1" x14ac:dyDescent="0.2">
      <c r="A287" s="317"/>
      <c r="B287" s="649"/>
      <c r="C287" s="650"/>
      <c r="D287" s="658" t="s">
        <v>517</v>
      </c>
      <c r="E287" s="628"/>
      <c r="F287" s="652"/>
      <c r="G287" s="628"/>
      <c r="H287" s="635"/>
      <c r="I287" s="646"/>
    </row>
    <row r="288" spans="1:9" s="367" customFormat="1" ht="12.75" customHeight="1" x14ac:dyDescent="0.2">
      <c r="A288" s="617">
        <f>A279+1</f>
        <v>31</v>
      </c>
      <c r="B288" s="631">
        <v>4002</v>
      </c>
      <c r="C288" s="632" t="s">
        <v>270</v>
      </c>
      <c r="D288" s="662" t="str">
        <f>$D$12</f>
        <v>FTE September 2025</v>
      </c>
      <c r="E288" s="621">
        <f>'4002'!$J$124</f>
        <v>715174.91</v>
      </c>
      <c r="F288" s="634"/>
      <c r="G288" s="621">
        <f>SUBTOTAL(109,E288:F297)</f>
        <v>715174.91</v>
      </c>
      <c r="H288" s="661"/>
    </row>
    <row r="289" spans="1:9" s="367" customFormat="1" ht="12.75" hidden="1" customHeight="1" x14ac:dyDescent="0.2">
      <c r="A289" s="617"/>
      <c r="B289" s="631"/>
      <c r="C289" s="632"/>
      <c r="D289" s="636" t="s">
        <v>494</v>
      </c>
      <c r="E289" s="621"/>
      <c r="F289" s="634"/>
      <c r="G289" s="621"/>
      <c r="H289" s="661"/>
    </row>
    <row r="290" spans="1:9" s="367" customFormat="1" ht="12.75" hidden="1" customHeight="1" x14ac:dyDescent="0.2">
      <c r="A290" s="617"/>
      <c r="B290" s="631"/>
      <c r="C290" s="632"/>
      <c r="D290" s="637" t="s">
        <v>495</v>
      </c>
      <c r="E290" s="621"/>
      <c r="F290" s="634"/>
      <c r="G290" s="621"/>
      <c r="H290" s="661"/>
    </row>
    <row r="291" spans="1:9" s="367" customFormat="1" ht="12.75" hidden="1" customHeight="1" x14ac:dyDescent="0.2">
      <c r="A291" s="617"/>
      <c r="B291" s="631"/>
      <c r="C291" s="632"/>
      <c r="D291" s="636" t="s">
        <v>496</v>
      </c>
      <c r="E291" s="621"/>
      <c r="F291" s="634"/>
      <c r="G291" s="621"/>
      <c r="H291" s="661"/>
      <c r="I291" s="649"/>
    </row>
    <row r="292" spans="1:9" s="367" customFormat="1" ht="12.75" hidden="1" customHeight="1" x14ac:dyDescent="0.2">
      <c r="A292" s="617"/>
      <c r="B292" s="631"/>
      <c r="C292" s="632"/>
      <c r="D292" s="636" t="s">
        <v>497</v>
      </c>
      <c r="E292" s="621"/>
      <c r="F292" s="634"/>
      <c r="G292" s="621"/>
      <c r="H292" s="661"/>
    </row>
    <row r="293" spans="1:9" s="367" customFormat="1" ht="12.75" hidden="1" customHeight="1" x14ac:dyDescent="0.2">
      <c r="A293" s="617"/>
      <c r="B293" s="631"/>
      <c r="C293" s="632"/>
      <c r="D293" s="636" t="s">
        <v>498</v>
      </c>
      <c r="E293" s="621"/>
      <c r="F293" s="634"/>
      <c r="G293" s="621"/>
      <c r="H293" s="661"/>
    </row>
    <row r="294" spans="1:9" s="367" customFormat="1" ht="12.75" hidden="1" customHeight="1" x14ac:dyDescent="0.2">
      <c r="A294" s="617"/>
      <c r="B294" s="631"/>
      <c r="C294" s="632"/>
      <c r="D294" s="636" t="s">
        <v>499</v>
      </c>
      <c r="E294" s="621"/>
      <c r="F294" s="634"/>
      <c r="G294" s="621"/>
      <c r="H294" s="661"/>
    </row>
    <row r="295" spans="1:9" s="367" customFormat="1" ht="12.75" hidden="1" customHeight="1" x14ac:dyDescent="0.2">
      <c r="A295" s="617"/>
      <c r="B295" s="631"/>
      <c r="C295" s="632"/>
      <c r="D295" s="636" t="s">
        <v>528</v>
      </c>
      <c r="E295" s="621"/>
      <c r="F295" s="634"/>
      <c r="G295" s="621"/>
      <c r="H295" s="635"/>
      <c r="I295" s="646"/>
    </row>
    <row r="296" spans="1:9" s="367" customFormat="1" ht="12.75" hidden="1" customHeight="1" x14ac:dyDescent="0.2">
      <c r="A296" s="617"/>
      <c r="B296" s="631"/>
      <c r="C296" s="632"/>
      <c r="D296" s="636" t="s">
        <v>507</v>
      </c>
      <c r="E296" s="621"/>
      <c r="F296" s="634"/>
      <c r="G296" s="621"/>
      <c r="H296" s="661"/>
      <c r="I296" s="646"/>
    </row>
    <row r="297" spans="1:9" s="367" customFormat="1" ht="12.75" hidden="1" customHeight="1" x14ac:dyDescent="0.2">
      <c r="A297" s="617"/>
      <c r="B297" s="631"/>
      <c r="C297" s="632"/>
      <c r="D297" s="636" t="s">
        <v>538</v>
      </c>
      <c r="E297" s="621"/>
      <c r="F297" s="634"/>
      <c r="G297" s="621"/>
      <c r="H297" s="661"/>
    </row>
    <row r="298" spans="1:9" s="367" customFormat="1" ht="12.75" customHeight="1" x14ac:dyDescent="0.2">
      <c r="A298" s="317">
        <f>A288+1</f>
        <v>32</v>
      </c>
      <c r="B298" s="649">
        <v>4012</v>
      </c>
      <c r="C298" s="650" t="s">
        <v>271</v>
      </c>
      <c r="D298" s="651" t="str">
        <f>$D$12</f>
        <v>FTE September 2025</v>
      </c>
      <c r="E298" s="628">
        <f>'4012'!$J$124</f>
        <v>417398.36</v>
      </c>
      <c r="F298" s="652"/>
      <c r="G298" s="628">
        <f>SUBTOTAL(109,E298:F305)</f>
        <v>417398.36</v>
      </c>
      <c r="H298" s="661"/>
    </row>
    <row r="299" spans="1:9" s="367" customFormat="1" ht="12.75" hidden="1" customHeight="1" x14ac:dyDescent="0.2">
      <c r="A299" s="317"/>
      <c r="B299" s="649"/>
      <c r="C299" s="650"/>
      <c r="D299" s="311" t="s">
        <v>519</v>
      </c>
      <c r="E299" s="628"/>
      <c r="F299" s="652"/>
      <c r="G299" s="628"/>
      <c r="H299" s="661"/>
    </row>
    <row r="300" spans="1:9" s="367" customFormat="1" ht="12.75" hidden="1" customHeight="1" x14ac:dyDescent="0.2">
      <c r="A300" s="317"/>
      <c r="B300" s="649"/>
      <c r="C300" s="650"/>
      <c r="D300" s="311" t="s">
        <v>495</v>
      </c>
      <c r="E300" s="628"/>
      <c r="F300" s="652"/>
      <c r="G300" s="628"/>
      <c r="H300" s="661"/>
      <c r="I300" s="649"/>
    </row>
    <row r="301" spans="1:9" s="367" customFormat="1" ht="12.75" hidden="1" customHeight="1" x14ac:dyDescent="0.2">
      <c r="A301" s="317"/>
      <c r="B301" s="649"/>
      <c r="C301" s="650"/>
      <c r="D301" s="311" t="s">
        <v>522</v>
      </c>
      <c r="E301" s="628"/>
      <c r="F301" s="652"/>
      <c r="G301" s="628"/>
      <c r="H301" s="661"/>
    </row>
    <row r="302" spans="1:9" s="367" customFormat="1" ht="12.75" hidden="1" customHeight="1" x14ac:dyDescent="0.2">
      <c r="A302" s="317"/>
      <c r="B302" s="649"/>
      <c r="C302" s="650"/>
      <c r="D302" s="311" t="s">
        <v>498</v>
      </c>
      <c r="E302" s="628"/>
      <c r="F302" s="652"/>
      <c r="G302" s="628"/>
      <c r="H302" s="661"/>
    </row>
    <row r="303" spans="1:9" s="367" customFormat="1" ht="12.75" hidden="1" customHeight="1" x14ac:dyDescent="0.2">
      <c r="A303" s="317"/>
      <c r="B303" s="649"/>
      <c r="C303" s="650"/>
      <c r="D303" s="311" t="s">
        <v>499</v>
      </c>
      <c r="E303" s="628"/>
      <c r="F303" s="652"/>
      <c r="G303" s="628"/>
      <c r="H303" s="661"/>
    </row>
    <row r="304" spans="1:9" s="367" customFormat="1" ht="12.75" hidden="1" customHeight="1" x14ac:dyDescent="0.2">
      <c r="A304" s="317"/>
      <c r="B304" s="649"/>
      <c r="C304" s="650"/>
      <c r="D304" s="311" t="s">
        <v>523</v>
      </c>
      <c r="E304" s="628"/>
      <c r="F304" s="652"/>
      <c r="G304" s="628"/>
      <c r="H304" s="661"/>
    </row>
    <row r="305" spans="1:9" s="367" customFormat="1" ht="12.75" hidden="1" customHeight="1" x14ac:dyDescent="0.2">
      <c r="A305" s="317"/>
      <c r="B305" s="649"/>
      <c r="C305" s="650"/>
      <c r="D305" s="658" t="s">
        <v>517</v>
      </c>
      <c r="E305" s="628"/>
      <c r="F305" s="652"/>
      <c r="G305" s="628"/>
      <c r="H305" s="661"/>
      <c r="I305" s="642"/>
    </row>
    <row r="306" spans="1:9" s="367" customFormat="1" ht="12.75" customHeight="1" x14ac:dyDescent="0.2">
      <c r="A306" s="617">
        <f>A298+1</f>
        <v>33</v>
      </c>
      <c r="B306" s="631">
        <v>4013</v>
      </c>
      <c r="C306" s="632" t="s">
        <v>272</v>
      </c>
      <c r="D306" s="662" t="str">
        <f>$D$12</f>
        <v>FTE September 2025</v>
      </c>
      <c r="E306" s="621">
        <f>'4013'!$J$124</f>
        <v>795258.27</v>
      </c>
      <c r="F306" s="634"/>
      <c r="G306" s="621">
        <f>SUBTOTAL(109,E306:F314)</f>
        <v>795258.27</v>
      </c>
      <c r="H306" s="661"/>
      <c r="I306" s="642"/>
    </row>
    <row r="307" spans="1:9" s="367" customFormat="1" ht="12.75" hidden="1" customHeight="1" x14ac:dyDescent="0.2">
      <c r="A307" s="617"/>
      <c r="B307" s="631"/>
      <c r="C307" s="632"/>
      <c r="D307" s="636" t="s">
        <v>494</v>
      </c>
      <c r="E307" s="621"/>
      <c r="F307" s="634"/>
      <c r="G307" s="621"/>
      <c r="H307" s="661"/>
    </row>
    <row r="308" spans="1:9" s="367" customFormat="1" ht="12.75" hidden="1" customHeight="1" x14ac:dyDescent="0.2">
      <c r="A308" s="617"/>
      <c r="B308" s="631"/>
      <c r="C308" s="632"/>
      <c r="D308" s="637" t="s">
        <v>495</v>
      </c>
      <c r="E308" s="621"/>
      <c r="F308" s="634"/>
      <c r="G308" s="621"/>
      <c r="H308" s="661"/>
    </row>
    <row r="309" spans="1:9" s="367" customFormat="1" ht="12.75" hidden="1" customHeight="1" x14ac:dyDescent="0.2">
      <c r="A309" s="617"/>
      <c r="B309" s="631"/>
      <c r="C309" s="632"/>
      <c r="D309" s="636" t="s">
        <v>496</v>
      </c>
      <c r="E309" s="621"/>
      <c r="F309" s="634"/>
      <c r="G309" s="621"/>
      <c r="H309" s="661"/>
    </row>
    <row r="310" spans="1:9" s="367" customFormat="1" ht="12.75" hidden="1" customHeight="1" x14ac:dyDescent="0.2">
      <c r="A310" s="617"/>
      <c r="B310" s="631"/>
      <c r="C310" s="632"/>
      <c r="D310" s="636" t="s">
        <v>522</v>
      </c>
      <c r="E310" s="621"/>
      <c r="F310" s="634"/>
      <c r="G310" s="621"/>
      <c r="H310" s="661"/>
    </row>
    <row r="311" spans="1:9" s="367" customFormat="1" ht="12.75" hidden="1" customHeight="1" x14ac:dyDescent="0.2">
      <c r="A311" s="617"/>
      <c r="B311" s="631"/>
      <c r="C311" s="632"/>
      <c r="D311" s="636" t="s">
        <v>498</v>
      </c>
      <c r="E311" s="621"/>
      <c r="F311" s="634"/>
      <c r="G311" s="621"/>
      <c r="H311" s="661"/>
    </row>
    <row r="312" spans="1:9" s="367" customFormat="1" ht="12.75" hidden="1" customHeight="1" x14ac:dyDescent="0.2">
      <c r="A312" s="617"/>
      <c r="B312" s="631"/>
      <c r="C312" s="632"/>
      <c r="D312" s="636" t="s">
        <v>499</v>
      </c>
      <c r="E312" s="621"/>
      <c r="F312" s="634"/>
      <c r="G312" s="621"/>
      <c r="H312" s="661"/>
    </row>
    <row r="313" spans="1:9" s="367" customFormat="1" ht="12.75" hidden="1" customHeight="1" x14ac:dyDescent="0.2">
      <c r="A313" s="617"/>
      <c r="B313" s="631"/>
      <c r="C313" s="632"/>
      <c r="D313" s="636" t="s">
        <v>507</v>
      </c>
      <c r="E313" s="621"/>
      <c r="F313" s="634"/>
      <c r="G313" s="621"/>
      <c r="H313" s="635"/>
      <c r="I313" s="646"/>
    </row>
    <row r="314" spans="1:9" s="367" customFormat="1" ht="12.75" hidden="1" customHeight="1" x14ac:dyDescent="0.2">
      <c r="A314" s="617"/>
      <c r="B314" s="631"/>
      <c r="C314" s="632"/>
      <c r="D314" s="636" t="s">
        <v>517</v>
      </c>
      <c r="E314" s="621"/>
      <c r="F314" s="634"/>
      <c r="G314" s="621"/>
      <c r="H314" s="661"/>
      <c r="I314" s="647"/>
    </row>
    <row r="315" spans="1:9" s="367" customFormat="1" ht="12.75" customHeight="1" x14ac:dyDescent="0.2">
      <c r="A315" s="317">
        <f>A306+1</f>
        <v>34</v>
      </c>
      <c r="B315" s="649">
        <v>4020</v>
      </c>
      <c r="C315" s="664" t="s">
        <v>273</v>
      </c>
      <c r="D315" s="651" t="str">
        <f>$D$12</f>
        <v>FTE September 2025</v>
      </c>
      <c r="E315" s="628">
        <f>'4020'!$J$124</f>
        <v>906770.45</v>
      </c>
      <c r="F315" s="652"/>
      <c r="G315" s="628">
        <f>SUBTOTAL(109,E315:F323)</f>
        <v>906770.45</v>
      </c>
      <c r="H315" s="661"/>
      <c r="I315" s="647"/>
    </row>
    <row r="316" spans="1:9" s="367" customFormat="1" ht="12.75" hidden="1" customHeight="1" x14ac:dyDescent="0.2">
      <c r="A316" s="317"/>
      <c r="B316" s="649"/>
      <c r="C316" s="650"/>
      <c r="D316" s="311" t="s">
        <v>519</v>
      </c>
      <c r="E316" s="628"/>
      <c r="F316" s="652"/>
      <c r="G316" s="628"/>
      <c r="H316" s="661"/>
    </row>
    <row r="317" spans="1:9" s="367" customFormat="1" ht="12.75" hidden="1" customHeight="1" x14ac:dyDescent="0.2">
      <c r="A317" s="317"/>
      <c r="B317" s="649"/>
      <c r="C317" s="650"/>
      <c r="D317" s="654" t="s">
        <v>495</v>
      </c>
      <c r="E317" s="628"/>
      <c r="F317" s="652"/>
      <c r="G317" s="628"/>
      <c r="H317" s="661"/>
    </row>
    <row r="318" spans="1:9" s="367" customFormat="1" ht="12.75" hidden="1" customHeight="1" x14ac:dyDescent="0.2">
      <c r="A318" s="317"/>
      <c r="B318" s="649"/>
      <c r="C318" s="650"/>
      <c r="D318" s="311" t="s">
        <v>496</v>
      </c>
      <c r="E318" s="628"/>
      <c r="F318" s="652"/>
      <c r="G318" s="628"/>
      <c r="H318" s="661"/>
      <c r="I318" s="649"/>
    </row>
    <row r="319" spans="1:9" s="367" customFormat="1" ht="12.75" hidden="1" customHeight="1" x14ac:dyDescent="0.2">
      <c r="A319" s="317"/>
      <c r="B319" s="649"/>
      <c r="C319" s="650"/>
      <c r="D319" s="311" t="s">
        <v>522</v>
      </c>
      <c r="E319" s="628"/>
      <c r="F319" s="652"/>
      <c r="G319" s="628"/>
      <c r="H319" s="661"/>
    </row>
    <row r="320" spans="1:9" s="367" customFormat="1" ht="12.75" hidden="1" customHeight="1" x14ac:dyDescent="0.2">
      <c r="A320" s="317"/>
      <c r="B320" s="649"/>
      <c r="C320" s="650"/>
      <c r="D320" s="311" t="s">
        <v>498</v>
      </c>
      <c r="E320" s="628"/>
      <c r="F320" s="652"/>
      <c r="G320" s="628"/>
      <c r="H320" s="661"/>
    </row>
    <row r="321" spans="1:9" s="367" customFormat="1" ht="12.75" hidden="1" customHeight="1" x14ac:dyDescent="0.2">
      <c r="A321" s="317"/>
      <c r="B321" s="649"/>
      <c r="C321" s="650"/>
      <c r="D321" s="311" t="s">
        <v>499</v>
      </c>
      <c r="E321" s="628"/>
      <c r="F321" s="652"/>
      <c r="G321" s="628"/>
      <c r="H321" s="661"/>
    </row>
    <row r="322" spans="1:9" s="367" customFormat="1" ht="12.75" hidden="1" customHeight="1" x14ac:dyDescent="0.2">
      <c r="A322" s="317"/>
      <c r="B322" s="649"/>
      <c r="C322" s="650"/>
      <c r="D322" s="311" t="s">
        <v>528</v>
      </c>
      <c r="E322" s="628"/>
      <c r="F322" s="652"/>
      <c r="G322" s="628"/>
      <c r="H322" s="661"/>
    </row>
    <row r="323" spans="1:9" s="367" customFormat="1" ht="12.75" hidden="1" customHeight="1" x14ac:dyDescent="0.2">
      <c r="A323" s="317"/>
      <c r="B323" s="649"/>
      <c r="C323" s="650"/>
      <c r="D323" s="658" t="s">
        <v>517</v>
      </c>
      <c r="E323" s="628"/>
      <c r="F323" s="652"/>
      <c r="G323" s="628"/>
      <c r="H323" s="661"/>
      <c r="I323" s="642"/>
    </row>
    <row r="324" spans="1:9" s="367" customFormat="1" ht="12.75" customHeight="1" x14ac:dyDescent="0.2">
      <c r="A324" s="617">
        <f>A315+1</f>
        <v>35</v>
      </c>
      <c r="B324" s="631">
        <v>4030</v>
      </c>
      <c r="C324" s="632" t="s">
        <v>274</v>
      </c>
      <c r="D324" s="662" t="str">
        <f>$D$12</f>
        <v>FTE September 2025</v>
      </c>
      <c r="E324" s="621">
        <f>'4030'!$J$124</f>
        <v>218407.85</v>
      </c>
      <c r="F324" s="634"/>
      <c r="G324" s="621">
        <f>SUBTOTAL(109,E324:F333)</f>
        <v>218407.85</v>
      </c>
      <c r="H324" s="661"/>
    </row>
    <row r="325" spans="1:9" s="367" customFormat="1" ht="12.75" hidden="1" customHeight="1" x14ac:dyDescent="0.2">
      <c r="A325" s="617"/>
      <c r="B325" s="631"/>
      <c r="C325" s="632"/>
      <c r="D325" s="636" t="s">
        <v>494</v>
      </c>
      <c r="E325" s="621"/>
      <c r="F325" s="634"/>
      <c r="G325" s="621"/>
      <c r="H325" s="661"/>
    </row>
    <row r="326" spans="1:9" s="367" customFormat="1" ht="12.75" hidden="1" customHeight="1" x14ac:dyDescent="0.2">
      <c r="A326" s="617"/>
      <c r="B326" s="631"/>
      <c r="C326" s="632"/>
      <c r="D326" s="637" t="s">
        <v>495</v>
      </c>
      <c r="E326" s="621"/>
      <c r="F326" s="634"/>
      <c r="G326" s="621"/>
      <c r="H326" s="661"/>
    </row>
    <row r="327" spans="1:9" s="367" customFormat="1" ht="12.75" hidden="1" customHeight="1" x14ac:dyDescent="0.2">
      <c r="A327" s="617"/>
      <c r="B327" s="631"/>
      <c r="C327" s="632"/>
      <c r="D327" s="637" t="s">
        <v>515</v>
      </c>
      <c r="E327" s="621"/>
      <c r="F327" s="634"/>
      <c r="G327" s="621"/>
      <c r="H327" s="661"/>
      <c r="I327" s="649"/>
    </row>
    <row r="328" spans="1:9" s="367" customFormat="1" ht="12.75" hidden="1" customHeight="1" x14ac:dyDescent="0.2">
      <c r="A328" s="617"/>
      <c r="B328" s="631"/>
      <c r="C328" s="632"/>
      <c r="D328" s="632" t="s">
        <v>527</v>
      </c>
      <c r="E328" s="621"/>
      <c r="F328" s="634"/>
      <c r="G328" s="621"/>
      <c r="H328" s="661"/>
    </row>
    <row r="329" spans="1:9" s="367" customFormat="1" ht="12.75" hidden="1" customHeight="1" x14ac:dyDescent="0.2">
      <c r="A329" s="617"/>
      <c r="B329" s="631"/>
      <c r="C329" s="632"/>
      <c r="D329" s="636" t="s">
        <v>497</v>
      </c>
      <c r="E329" s="621"/>
      <c r="F329" s="634"/>
      <c r="G329" s="621"/>
      <c r="H329" s="661"/>
    </row>
    <row r="330" spans="1:9" s="367" customFormat="1" ht="12.75" hidden="1" customHeight="1" x14ac:dyDescent="0.2">
      <c r="A330" s="617"/>
      <c r="B330" s="631"/>
      <c r="C330" s="632"/>
      <c r="D330" s="636" t="s">
        <v>498</v>
      </c>
      <c r="E330" s="621"/>
      <c r="F330" s="634"/>
      <c r="G330" s="621"/>
      <c r="H330" s="661"/>
    </row>
    <row r="331" spans="1:9" s="367" customFormat="1" ht="12.75" hidden="1" customHeight="1" x14ac:dyDescent="0.2">
      <c r="A331" s="617"/>
      <c r="B331" s="631"/>
      <c r="C331" s="632"/>
      <c r="D331" s="636" t="s">
        <v>499</v>
      </c>
      <c r="E331" s="621"/>
      <c r="F331" s="634"/>
      <c r="G331" s="621"/>
      <c r="H331" s="635"/>
      <c r="I331" s="646"/>
    </row>
    <row r="332" spans="1:9" s="367" customFormat="1" ht="12.75" hidden="1" customHeight="1" x14ac:dyDescent="0.2">
      <c r="A332" s="617"/>
      <c r="B332" s="631"/>
      <c r="C332" s="632"/>
      <c r="D332" s="636" t="s">
        <v>507</v>
      </c>
      <c r="E332" s="621"/>
      <c r="F332" s="634"/>
      <c r="G332" s="621"/>
      <c r="H332" s="661"/>
      <c r="I332" s="642"/>
    </row>
    <row r="333" spans="1:9" s="367" customFormat="1" ht="12.75" hidden="1" customHeight="1" x14ac:dyDescent="0.2">
      <c r="A333" s="617"/>
      <c r="B333" s="631"/>
      <c r="C333" s="632"/>
      <c r="D333" s="636" t="s">
        <v>517</v>
      </c>
      <c r="E333" s="621"/>
      <c r="F333" s="634"/>
      <c r="G333" s="621"/>
      <c r="H333" s="661"/>
    </row>
    <row r="334" spans="1:9" s="367" customFormat="1" ht="12.75" customHeight="1" x14ac:dyDescent="0.2">
      <c r="A334" s="317">
        <f>A324+1</f>
        <v>36</v>
      </c>
      <c r="B334" s="649">
        <v>4031</v>
      </c>
      <c r="C334" s="664" t="s">
        <v>275</v>
      </c>
      <c r="D334" s="651" t="str">
        <f>$D$12</f>
        <v>FTE September 2025</v>
      </c>
      <c r="E334" s="628">
        <f>'4031'!$J$124</f>
        <v>326575.68</v>
      </c>
      <c r="F334" s="652"/>
      <c r="G334" s="628">
        <f>SUBTOTAL(109,E334:F343)</f>
        <v>326575.68</v>
      </c>
      <c r="H334" s="661"/>
    </row>
    <row r="335" spans="1:9" s="367" customFormat="1" ht="12.75" hidden="1" customHeight="1" x14ac:dyDescent="0.2">
      <c r="A335" s="317"/>
      <c r="B335" s="649"/>
      <c r="C335" s="650"/>
      <c r="D335" s="311" t="s">
        <v>519</v>
      </c>
      <c r="E335" s="628"/>
      <c r="F335" s="652"/>
      <c r="G335" s="628"/>
      <c r="H335" s="661"/>
    </row>
    <row r="336" spans="1:9" s="367" customFormat="1" ht="12.75" hidden="1" customHeight="1" x14ac:dyDescent="0.2">
      <c r="A336" s="317"/>
      <c r="B336" s="649"/>
      <c r="C336" s="650"/>
      <c r="D336" s="654" t="s">
        <v>495</v>
      </c>
      <c r="E336" s="628"/>
      <c r="F336" s="652"/>
      <c r="G336" s="628"/>
      <c r="H336" s="661"/>
      <c r="I336" s="649"/>
    </row>
    <row r="337" spans="1:9" s="367" customFormat="1" ht="12.75" hidden="1" customHeight="1" x14ac:dyDescent="0.2">
      <c r="A337" s="317"/>
      <c r="B337" s="649"/>
      <c r="C337" s="650"/>
      <c r="D337" s="654" t="s">
        <v>515</v>
      </c>
      <c r="E337" s="628"/>
      <c r="F337" s="652"/>
      <c r="G337" s="628"/>
      <c r="H337" s="661"/>
      <c r="I337" s="649"/>
    </row>
    <row r="338" spans="1:9" s="367" customFormat="1" ht="12.75" hidden="1" customHeight="1" x14ac:dyDescent="0.2">
      <c r="A338" s="317"/>
      <c r="B338" s="649"/>
      <c r="C338" s="650"/>
      <c r="D338" s="311" t="s">
        <v>496</v>
      </c>
      <c r="E338" s="628"/>
      <c r="F338" s="652"/>
      <c r="G338" s="628"/>
      <c r="H338" s="661"/>
    </row>
    <row r="339" spans="1:9" s="367" customFormat="1" ht="12.75" hidden="1" customHeight="1" x14ac:dyDescent="0.2">
      <c r="A339" s="317"/>
      <c r="B339" s="649"/>
      <c r="C339" s="650"/>
      <c r="D339" s="311" t="s">
        <v>497</v>
      </c>
      <c r="E339" s="628"/>
      <c r="F339" s="652"/>
      <c r="G339" s="628"/>
      <c r="H339" s="661"/>
    </row>
    <row r="340" spans="1:9" s="367" customFormat="1" ht="12.75" hidden="1" customHeight="1" x14ac:dyDescent="0.2">
      <c r="A340" s="317"/>
      <c r="B340" s="649"/>
      <c r="C340" s="650"/>
      <c r="D340" s="311" t="s">
        <v>498</v>
      </c>
      <c r="E340" s="628"/>
      <c r="F340" s="652"/>
      <c r="G340" s="628"/>
      <c r="H340" s="661"/>
    </row>
    <row r="341" spans="1:9" s="367" customFormat="1" ht="12.75" hidden="1" customHeight="1" x14ac:dyDescent="0.2">
      <c r="A341" s="317"/>
      <c r="B341" s="649"/>
      <c r="C341" s="650"/>
      <c r="D341" s="311" t="s">
        <v>499</v>
      </c>
      <c r="E341" s="628"/>
      <c r="F341" s="652"/>
      <c r="G341" s="628"/>
      <c r="H341" s="661"/>
    </row>
    <row r="342" spans="1:9" s="367" customFormat="1" ht="12.75" hidden="1" customHeight="1" x14ac:dyDescent="0.2">
      <c r="A342" s="317"/>
      <c r="B342" s="649"/>
      <c r="C342" s="650"/>
      <c r="D342" s="311" t="s">
        <v>507</v>
      </c>
      <c r="E342" s="628"/>
      <c r="F342" s="652"/>
      <c r="G342" s="628"/>
      <c r="H342" s="661"/>
      <c r="I342" s="642"/>
    </row>
    <row r="343" spans="1:9" s="367" customFormat="1" ht="12.75" hidden="1" customHeight="1" x14ac:dyDescent="0.2">
      <c r="A343" s="317"/>
      <c r="B343" s="649"/>
      <c r="C343" s="650"/>
      <c r="D343" s="658" t="s">
        <v>517</v>
      </c>
      <c r="E343" s="628"/>
      <c r="F343" s="652"/>
      <c r="G343" s="628"/>
      <c r="H343" s="661"/>
    </row>
    <row r="344" spans="1:9" s="367" customFormat="1" ht="12.75" customHeight="1" x14ac:dyDescent="0.2">
      <c r="A344" s="617">
        <f>A334+1</f>
        <v>37</v>
      </c>
      <c r="B344" s="631">
        <v>4041</v>
      </c>
      <c r="C344" s="632" t="s">
        <v>276</v>
      </c>
      <c r="D344" s="662" t="str">
        <f>$D$12</f>
        <v>FTE September 2025</v>
      </c>
      <c r="E344" s="621">
        <f>'4041'!$J$124</f>
        <v>64770.19</v>
      </c>
      <c r="F344" s="634"/>
      <c r="G344" s="621">
        <f>SUBTOTAL(109,E344:F354)</f>
        <v>64770.19</v>
      </c>
      <c r="H344" s="661"/>
    </row>
    <row r="345" spans="1:9" s="367" customFormat="1" ht="12.75" hidden="1" customHeight="1" x14ac:dyDescent="0.2">
      <c r="A345" s="617"/>
      <c r="B345" s="631"/>
      <c r="C345" s="632"/>
      <c r="D345" s="636" t="s">
        <v>494</v>
      </c>
      <c r="E345" s="621"/>
      <c r="F345" s="634"/>
      <c r="G345" s="621"/>
      <c r="H345" s="661"/>
    </row>
    <row r="346" spans="1:9" s="367" customFormat="1" ht="12.75" hidden="1" customHeight="1" x14ac:dyDescent="0.2">
      <c r="A346" s="617"/>
      <c r="B346" s="631"/>
      <c r="C346" s="632"/>
      <c r="D346" s="637" t="s">
        <v>495</v>
      </c>
      <c r="E346" s="621"/>
      <c r="F346" s="634"/>
      <c r="G346" s="621"/>
      <c r="H346" s="661"/>
      <c r="I346" s="649"/>
    </row>
    <row r="347" spans="1:9" s="367" customFormat="1" ht="12.75" hidden="1" customHeight="1" x14ac:dyDescent="0.2">
      <c r="A347" s="617"/>
      <c r="B347" s="631"/>
      <c r="C347" s="632"/>
      <c r="D347" s="637" t="s">
        <v>515</v>
      </c>
      <c r="E347" s="621"/>
      <c r="F347" s="634"/>
      <c r="G347" s="621"/>
      <c r="H347" s="661"/>
      <c r="I347" s="649"/>
    </row>
    <row r="348" spans="1:9" s="367" customFormat="1" ht="12.75" hidden="1" customHeight="1" x14ac:dyDescent="0.2">
      <c r="A348" s="617"/>
      <c r="B348" s="631"/>
      <c r="C348" s="632"/>
      <c r="D348" s="636" t="s">
        <v>496</v>
      </c>
      <c r="E348" s="621"/>
      <c r="F348" s="634"/>
      <c r="G348" s="621"/>
      <c r="H348" s="661"/>
    </row>
    <row r="349" spans="1:9" s="367" customFormat="1" ht="12.75" hidden="1" customHeight="1" x14ac:dyDescent="0.2">
      <c r="A349" s="617"/>
      <c r="B349" s="631"/>
      <c r="C349" s="632"/>
      <c r="D349" s="636" t="s">
        <v>497</v>
      </c>
      <c r="E349" s="621"/>
      <c r="F349" s="634"/>
      <c r="G349" s="621"/>
      <c r="H349" s="661"/>
    </row>
    <row r="350" spans="1:9" s="367" customFormat="1" ht="12.75" hidden="1" customHeight="1" x14ac:dyDescent="0.2">
      <c r="A350" s="617"/>
      <c r="B350" s="631"/>
      <c r="C350" s="632"/>
      <c r="D350" s="636" t="s">
        <v>498</v>
      </c>
      <c r="E350" s="621"/>
      <c r="F350" s="634"/>
      <c r="G350" s="621"/>
      <c r="H350" s="661"/>
      <c r="I350" s="649"/>
    </row>
    <row r="351" spans="1:9" s="367" customFormat="1" ht="12.75" hidden="1" customHeight="1" x14ac:dyDescent="0.2">
      <c r="A351" s="617"/>
      <c r="B351" s="631"/>
      <c r="C351" s="632"/>
      <c r="D351" s="636" t="s">
        <v>499</v>
      </c>
      <c r="E351" s="621"/>
      <c r="F351" s="634"/>
      <c r="G351" s="621"/>
      <c r="H351" s="661"/>
      <c r="I351" s="646"/>
    </row>
    <row r="352" spans="1:9" s="367" customFormat="1" ht="12.75" hidden="1" customHeight="1" x14ac:dyDescent="0.2">
      <c r="A352" s="617"/>
      <c r="B352" s="631"/>
      <c r="C352" s="632"/>
      <c r="D352" s="636" t="s">
        <v>523</v>
      </c>
      <c r="E352" s="621"/>
      <c r="F352" s="634"/>
      <c r="G352" s="621"/>
      <c r="H352" s="661"/>
      <c r="I352" s="642"/>
    </row>
    <row r="353" spans="1:9" s="367" customFormat="1" ht="12.75" hidden="1" customHeight="1" x14ac:dyDescent="0.2">
      <c r="A353" s="617"/>
      <c r="B353" s="631"/>
      <c r="C353" s="632"/>
      <c r="D353" s="636" t="s">
        <v>507</v>
      </c>
      <c r="E353" s="621"/>
      <c r="F353" s="634"/>
      <c r="G353" s="621"/>
      <c r="H353" s="661"/>
    </row>
    <row r="354" spans="1:9" s="367" customFormat="1" ht="12.75" hidden="1" customHeight="1" x14ac:dyDescent="0.2">
      <c r="A354" s="617"/>
      <c r="B354" s="631"/>
      <c r="C354" s="632"/>
      <c r="D354" s="636" t="s">
        <v>517</v>
      </c>
      <c r="E354" s="621"/>
      <c r="F354" s="634"/>
      <c r="G354" s="621"/>
      <c r="H354" s="661"/>
    </row>
    <row r="355" spans="1:9" s="367" customFormat="1" ht="12.75" customHeight="1" x14ac:dyDescent="0.2">
      <c r="A355" s="317">
        <f>A344+1</f>
        <v>38</v>
      </c>
      <c r="B355" s="341">
        <v>4050</v>
      </c>
      <c r="C355" s="342" t="s">
        <v>277</v>
      </c>
      <c r="D355" s="651" t="str">
        <f>$D$12</f>
        <v>FTE September 2025</v>
      </c>
      <c r="E355" s="628">
        <f>'4050'!$J$124</f>
        <v>519597.92</v>
      </c>
      <c r="F355" s="652"/>
      <c r="G355" s="628">
        <f>SUBTOTAL(109,E355:F361)</f>
        <v>519597.92</v>
      </c>
      <c r="H355" s="661"/>
    </row>
    <row r="356" spans="1:9" s="367" customFormat="1" ht="12.75" hidden="1" customHeight="1" x14ac:dyDescent="0.2">
      <c r="A356" s="317"/>
      <c r="B356" s="341"/>
      <c r="C356" s="342"/>
      <c r="D356" s="311" t="s">
        <v>519</v>
      </c>
      <c r="E356" s="628"/>
      <c r="F356" s="652"/>
      <c r="G356" s="628"/>
      <c r="H356" s="661"/>
      <c r="I356" s="649"/>
    </row>
    <row r="357" spans="1:9" s="367" customFormat="1" ht="12.75" hidden="1" customHeight="1" x14ac:dyDescent="0.2">
      <c r="A357" s="317"/>
      <c r="B357" s="341"/>
      <c r="C357" s="342"/>
      <c r="D357" s="311" t="s">
        <v>495</v>
      </c>
      <c r="E357" s="628"/>
      <c r="F357" s="652"/>
      <c r="G357" s="628"/>
      <c r="H357" s="661"/>
      <c r="I357" s="649"/>
    </row>
    <row r="358" spans="1:9" s="367" customFormat="1" ht="12.75" hidden="1" customHeight="1" x14ac:dyDescent="0.2">
      <c r="A358" s="317"/>
      <c r="B358" s="649"/>
      <c r="C358" s="650"/>
      <c r="D358" s="311" t="s">
        <v>497</v>
      </c>
      <c r="E358" s="628"/>
      <c r="F358" s="652"/>
      <c r="G358" s="628"/>
      <c r="H358" s="661"/>
    </row>
    <row r="359" spans="1:9" s="367" customFormat="1" ht="12.75" hidden="1" customHeight="1" x14ac:dyDescent="0.2">
      <c r="A359" s="317"/>
      <c r="B359" s="649"/>
      <c r="C359" s="650"/>
      <c r="D359" s="311" t="s">
        <v>498</v>
      </c>
      <c r="E359" s="628"/>
      <c r="F359" s="652"/>
      <c r="G359" s="628"/>
      <c r="H359" s="661"/>
    </row>
    <row r="360" spans="1:9" s="367" customFormat="1" ht="12.75" hidden="1" customHeight="1" x14ac:dyDescent="0.2">
      <c r="A360" s="317"/>
      <c r="B360" s="649"/>
      <c r="C360" s="650"/>
      <c r="D360" s="311" t="s">
        <v>499</v>
      </c>
      <c r="E360" s="628"/>
      <c r="F360" s="652"/>
      <c r="G360" s="628"/>
      <c r="H360" s="661"/>
    </row>
    <row r="361" spans="1:9" s="367" customFormat="1" ht="12.75" hidden="1" customHeight="1" x14ac:dyDescent="0.2">
      <c r="A361" s="317"/>
      <c r="B361" s="649"/>
      <c r="C361" s="650"/>
      <c r="D361" s="658" t="s">
        <v>517</v>
      </c>
      <c r="E361" s="628"/>
      <c r="F361" s="652"/>
      <c r="G361" s="628"/>
      <c r="H361" s="661"/>
    </row>
    <row r="362" spans="1:9" s="367" customFormat="1" ht="12.75" customHeight="1" x14ac:dyDescent="0.2">
      <c r="A362" s="617">
        <f>A355+1</f>
        <v>39</v>
      </c>
      <c r="B362" s="631">
        <v>4051</v>
      </c>
      <c r="C362" s="632" t="s">
        <v>278</v>
      </c>
      <c r="D362" s="662" t="str">
        <f>$D$12</f>
        <v>FTE September 2025</v>
      </c>
      <c r="E362" s="621">
        <f>'4051'!$J$124</f>
        <v>548429.27</v>
      </c>
      <c r="F362" s="634"/>
      <c r="G362" s="621">
        <f>SUBTOTAL(109,E362:F370)</f>
        <v>548429.27</v>
      </c>
      <c r="H362" s="661"/>
    </row>
    <row r="363" spans="1:9" s="367" customFormat="1" ht="12.75" hidden="1" customHeight="1" x14ac:dyDescent="0.2">
      <c r="A363" s="617"/>
      <c r="B363" s="631"/>
      <c r="C363" s="632"/>
      <c r="D363" s="636" t="s">
        <v>494</v>
      </c>
      <c r="E363" s="621"/>
      <c r="F363" s="634"/>
      <c r="G363" s="621"/>
      <c r="H363" s="661"/>
      <c r="I363" s="642"/>
    </row>
    <row r="364" spans="1:9" s="367" customFormat="1" ht="12.75" hidden="1" customHeight="1" x14ac:dyDescent="0.2">
      <c r="A364" s="617"/>
      <c r="B364" s="631"/>
      <c r="C364" s="632"/>
      <c r="D364" s="636" t="s">
        <v>495</v>
      </c>
      <c r="E364" s="621"/>
      <c r="F364" s="634"/>
      <c r="G364" s="621"/>
      <c r="H364" s="661"/>
    </row>
    <row r="365" spans="1:9" s="367" customFormat="1" ht="12.75" hidden="1" customHeight="1" x14ac:dyDescent="0.2">
      <c r="A365" s="617"/>
      <c r="B365" s="631"/>
      <c r="C365" s="632"/>
      <c r="D365" s="636" t="s">
        <v>497</v>
      </c>
      <c r="E365" s="621"/>
      <c r="F365" s="634"/>
      <c r="G365" s="621"/>
      <c r="H365" s="661"/>
    </row>
    <row r="366" spans="1:9" s="367" customFormat="1" ht="12.75" hidden="1" customHeight="1" x14ac:dyDescent="0.2">
      <c r="A366" s="617"/>
      <c r="B366" s="631"/>
      <c r="C366" s="632"/>
      <c r="D366" s="636" t="s">
        <v>498</v>
      </c>
      <c r="E366" s="621"/>
      <c r="F366" s="634"/>
      <c r="G366" s="621"/>
      <c r="H366" s="661"/>
    </row>
    <row r="367" spans="1:9" s="367" customFormat="1" ht="12.75" hidden="1" customHeight="1" x14ac:dyDescent="0.2">
      <c r="A367" s="617"/>
      <c r="B367" s="631"/>
      <c r="C367" s="632"/>
      <c r="D367" s="636" t="s">
        <v>499</v>
      </c>
      <c r="E367" s="621"/>
      <c r="F367" s="634"/>
      <c r="G367" s="621"/>
      <c r="H367" s="661"/>
    </row>
    <row r="368" spans="1:9" s="367" customFormat="1" ht="12.75" hidden="1" customHeight="1" x14ac:dyDescent="0.2">
      <c r="A368" s="617"/>
      <c r="B368" s="631"/>
      <c r="C368" s="632"/>
      <c r="D368" s="636" t="s">
        <v>523</v>
      </c>
      <c r="E368" s="621"/>
      <c r="F368" s="634"/>
      <c r="G368" s="621"/>
      <c r="H368" s="661"/>
    </row>
    <row r="369" spans="1:9" s="367" customFormat="1" ht="12.75" hidden="1" customHeight="1" x14ac:dyDescent="0.2">
      <c r="A369" s="617"/>
      <c r="B369" s="631"/>
      <c r="C369" s="632"/>
      <c r="D369" s="636" t="s">
        <v>528</v>
      </c>
      <c r="E369" s="621"/>
      <c r="F369" s="634"/>
      <c r="G369" s="621"/>
      <c r="H369" s="661"/>
    </row>
    <row r="370" spans="1:9" s="367" customFormat="1" ht="12.75" hidden="1" customHeight="1" x14ac:dyDescent="0.2">
      <c r="A370" s="617"/>
      <c r="B370" s="631"/>
      <c r="C370" s="632"/>
      <c r="D370" s="636"/>
      <c r="E370" s="621"/>
      <c r="F370" s="634"/>
      <c r="G370" s="621"/>
      <c r="H370" s="661"/>
      <c r="I370" s="646"/>
    </row>
    <row r="371" spans="1:9" s="367" customFormat="1" ht="12.75" customHeight="1" x14ac:dyDescent="0.2">
      <c r="A371" s="317">
        <f>A362+1</f>
        <v>40</v>
      </c>
      <c r="B371" s="341">
        <v>4061</v>
      </c>
      <c r="C371" s="344" t="s">
        <v>279</v>
      </c>
      <c r="D371" s="651" t="str">
        <f>$D$12</f>
        <v>FTE September 2025</v>
      </c>
      <c r="E371" s="628">
        <f>'4061'!$J$124</f>
        <v>697323.13</v>
      </c>
      <c r="F371" s="652"/>
      <c r="G371" s="628">
        <f>SUBTOTAL(109,E371:F379)</f>
        <v>697323.13</v>
      </c>
      <c r="H371" s="661"/>
    </row>
    <row r="372" spans="1:9" s="367" customFormat="1" ht="12.75" hidden="1" customHeight="1" x14ac:dyDescent="0.2">
      <c r="A372" s="317"/>
      <c r="B372" s="341"/>
      <c r="C372" s="342"/>
      <c r="D372" s="311" t="s">
        <v>519</v>
      </c>
      <c r="E372" s="628"/>
      <c r="F372" s="652"/>
      <c r="G372" s="628"/>
      <c r="H372" s="661"/>
    </row>
    <row r="373" spans="1:9" s="367" customFormat="1" ht="12.75" hidden="1" customHeight="1" x14ac:dyDescent="0.2">
      <c r="A373" s="317"/>
      <c r="B373" s="649"/>
      <c r="C373" s="650"/>
      <c r="D373" s="654" t="s">
        <v>495</v>
      </c>
      <c r="E373" s="628"/>
      <c r="F373" s="652"/>
      <c r="G373" s="628"/>
      <c r="H373" s="661"/>
    </row>
    <row r="374" spans="1:9" s="367" customFormat="1" ht="12.75" hidden="1" customHeight="1" x14ac:dyDescent="0.2">
      <c r="A374" s="317"/>
      <c r="B374" s="341"/>
      <c r="C374" s="342"/>
      <c r="D374" s="311" t="s">
        <v>494</v>
      </c>
      <c r="E374" s="628"/>
      <c r="F374" s="652"/>
      <c r="G374" s="628"/>
      <c r="H374" s="661"/>
    </row>
    <row r="375" spans="1:9" s="367" customFormat="1" ht="12.75" hidden="1" customHeight="1" x14ac:dyDescent="0.2">
      <c r="A375" s="317"/>
      <c r="B375" s="341"/>
      <c r="C375" s="342"/>
      <c r="D375" s="311" t="s">
        <v>496</v>
      </c>
      <c r="E375" s="628"/>
      <c r="F375" s="652"/>
      <c r="G375" s="628"/>
      <c r="H375" s="661"/>
    </row>
    <row r="376" spans="1:9" s="367" customFormat="1" ht="12.75" hidden="1" customHeight="1" x14ac:dyDescent="0.2">
      <c r="A376" s="317"/>
      <c r="B376" s="649"/>
      <c r="C376" s="650"/>
      <c r="D376" s="311" t="s">
        <v>497</v>
      </c>
      <c r="E376" s="628"/>
      <c r="F376" s="652"/>
      <c r="G376" s="628"/>
      <c r="H376" s="661"/>
    </row>
    <row r="377" spans="1:9" s="367" customFormat="1" ht="12.75" hidden="1" customHeight="1" x14ac:dyDescent="0.2">
      <c r="A377" s="317"/>
      <c r="B377" s="649"/>
      <c r="C377" s="650"/>
      <c r="D377" s="311" t="s">
        <v>498</v>
      </c>
      <c r="E377" s="628"/>
      <c r="F377" s="652"/>
      <c r="G377" s="628"/>
      <c r="H377" s="661"/>
    </row>
    <row r="378" spans="1:9" s="367" customFormat="1" ht="12.75" hidden="1" customHeight="1" x14ac:dyDescent="0.2">
      <c r="A378" s="317"/>
      <c r="B378" s="649"/>
      <c r="C378" s="650"/>
      <c r="D378" s="311" t="s">
        <v>499</v>
      </c>
      <c r="E378" s="628"/>
      <c r="F378" s="652"/>
      <c r="G378" s="628"/>
      <c r="H378" s="661"/>
    </row>
    <row r="379" spans="1:9" s="367" customFormat="1" ht="12.75" hidden="1" customHeight="1" x14ac:dyDescent="0.2">
      <c r="A379" s="317"/>
      <c r="B379" s="649"/>
      <c r="C379" s="650"/>
      <c r="D379" s="658" t="s">
        <v>539</v>
      </c>
      <c r="E379" s="672"/>
      <c r="F379" s="652"/>
      <c r="G379" s="628"/>
      <c r="H379" s="661"/>
      <c r="I379" s="642"/>
    </row>
    <row r="380" spans="1:9" s="367" customFormat="1" ht="12.75" customHeight="1" x14ac:dyDescent="0.2">
      <c r="A380" s="617">
        <f>A371+1</f>
        <v>41</v>
      </c>
      <c r="B380" s="631">
        <v>4080</v>
      </c>
      <c r="C380" s="632" t="s">
        <v>280</v>
      </c>
      <c r="D380" s="662" t="str">
        <f>$D$12</f>
        <v>FTE September 2025</v>
      </c>
      <c r="E380" s="621"/>
      <c r="F380" s="634"/>
      <c r="G380" s="621">
        <f>SUBTOTAL(109,E380:F386)</f>
        <v>0</v>
      </c>
      <c r="H380" s="661"/>
      <c r="I380" s="362" t="s">
        <v>540</v>
      </c>
    </row>
    <row r="381" spans="1:9" s="367" customFormat="1" ht="12.75" hidden="1" customHeight="1" x14ac:dyDescent="0.2">
      <c r="A381" s="617"/>
      <c r="B381" s="631"/>
      <c r="C381" s="632"/>
      <c r="D381" s="636" t="s">
        <v>494</v>
      </c>
      <c r="E381" s="621"/>
      <c r="F381" s="634"/>
      <c r="G381" s="621"/>
      <c r="H381" s="661"/>
    </row>
    <row r="382" spans="1:9" s="367" customFormat="1" ht="12.75" hidden="1" customHeight="1" x14ac:dyDescent="0.2">
      <c r="A382" s="617"/>
      <c r="B382" s="631"/>
      <c r="C382" s="632"/>
      <c r="D382" s="636" t="s">
        <v>495</v>
      </c>
      <c r="E382" s="621"/>
      <c r="F382" s="634"/>
      <c r="G382" s="621"/>
      <c r="H382" s="661"/>
    </row>
    <row r="383" spans="1:9" s="367" customFormat="1" ht="12.75" hidden="1" customHeight="1" x14ac:dyDescent="0.2">
      <c r="A383" s="617"/>
      <c r="B383" s="631"/>
      <c r="C383" s="632"/>
      <c r="D383" s="636" t="s">
        <v>497</v>
      </c>
      <c r="E383" s="621"/>
      <c r="F383" s="634"/>
      <c r="G383" s="621"/>
      <c r="H383" s="661"/>
      <c r="I383" s="649"/>
    </row>
    <row r="384" spans="1:9" s="367" customFormat="1" ht="12.75" hidden="1" customHeight="1" x14ac:dyDescent="0.2">
      <c r="A384" s="617"/>
      <c r="B384" s="631"/>
      <c r="C384" s="632"/>
      <c r="D384" s="636" t="s">
        <v>498</v>
      </c>
      <c r="E384" s="621"/>
      <c r="F384" s="634"/>
      <c r="G384" s="621"/>
      <c r="H384" s="661"/>
    </row>
    <row r="385" spans="1:12" s="367" customFormat="1" ht="12.75" hidden="1" customHeight="1" x14ac:dyDescent="0.2">
      <c r="A385" s="617"/>
      <c r="B385" s="631"/>
      <c r="C385" s="632"/>
      <c r="D385" s="636" t="s">
        <v>499</v>
      </c>
      <c r="E385" s="621"/>
      <c r="F385" s="634"/>
      <c r="G385" s="621"/>
      <c r="H385" s="661"/>
    </row>
    <row r="386" spans="1:12" s="367" customFormat="1" ht="12.75" hidden="1" customHeight="1" x14ac:dyDescent="0.2">
      <c r="A386" s="617"/>
      <c r="B386" s="631"/>
      <c r="C386" s="632"/>
      <c r="D386" s="636" t="s">
        <v>517</v>
      </c>
      <c r="E386" s="621"/>
      <c r="F386" s="634"/>
      <c r="G386" s="621"/>
      <c r="H386" s="661"/>
      <c r="I386" s="649"/>
    </row>
    <row r="387" spans="1:12" s="367" customFormat="1" ht="12.75" customHeight="1" x14ac:dyDescent="0.2">
      <c r="A387" s="317">
        <f>1+A380</f>
        <v>42</v>
      </c>
      <c r="B387" s="341">
        <v>4081</v>
      </c>
      <c r="C387" s="344" t="s">
        <v>281</v>
      </c>
      <c r="D387" s="651" t="str">
        <f>$D$12</f>
        <v>FTE September 2025</v>
      </c>
      <c r="E387" s="628">
        <f>'4081'!$J$124</f>
        <v>84667.61</v>
      </c>
      <c r="F387" s="652"/>
      <c r="G387" s="628">
        <f>SUBTOTAL(109,E387:F395)</f>
        <v>84667.61</v>
      </c>
      <c r="H387" s="661"/>
    </row>
    <row r="388" spans="1:12" s="367" customFormat="1" ht="12.75" hidden="1" customHeight="1" x14ac:dyDescent="0.2">
      <c r="A388" s="317"/>
      <c r="B388" s="341"/>
      <c r="C388" s="344"/>
      <c r="D388" s="311" t="s">
        <v>519</v>
      </c>
      <c r="E388" s="628"/>
      <c r="F388" s="652"/>
      <c r="G388" s="628"/>
      <c r="H388" s="661"/>
      <c r="I388" s="646"/>
    </row>
    <row r="389" spans="1:12" s="367" customFormat="1" ht="12.75" hidden="1" customHeight="1" x14ac:dyDescent="0.2">
      <c r="A389" s="317"/>
      <c r="B389" s="649"/>
      <c r="C389" s="650"/>
      <c r="D389" s="654" t="s">
        <v>495</v>
      </c>
      <c r="E389" s="628"/>
      <c r="F389" s="652"/>
      <c r="G389" s="628"/>
      <c r="H389" s="661"/>
      <c r="I389" s="646"/>
    </row>
    <row r="390" spans="1:12" s="367" customFormat="1" ht="12.75" hidden="1" customHeight="1" x14ac:dyDescent="0.2">
      <c r="A390" s="317"/>
      <c r="B390" s="341"/>
      <c r="C390" s="344"/>
      <c r="D390" s="311" t="s">
        <v>496</v>
      </c>
      <c r="E390" s="628"/>
      <c r="F390" s="652"/>
      <c r="G390" s="628"/>
      <c r="H390" s="661"/>
    </row>
    <row r="391" spans="1:12" s="367" customFormat="1" ht="12.75" hidden="1" customHeight="1" x14ac:dyDescent="0.2">
      <c r="A391" s="317"/>
      <c r="B391" s="341"/>
      <c r="C391" s="344"/>
      <c r="D391" s="311" t="s">
        <v>497</v>
      </c>
      <c r="E391" s="628"/>
      <c r="F391" s="652"/>
      <c r="G391" s="628"/>
      <c r="H391" s="661"/>
    </row>
    <row r="392" spans="1:12" s="367" customFormat="1" ht="12.75" hidden="1" customHeight="1" x14ac:dyDescent="0.2">
      <c r="A392" s="317"/>
      <c r="B392" s="341"/>
      <c r="C392" s="344"/>
      <c r="D392" s="311" t="s">
        <v>498</v>
      </c>
      <c r="E392" s="628"/>
      <c r="F392" s="652"/>
      <c r="G392" s="628"/>
      <c r="H392" s="661"/>
    </row>
    <row r="393" spans="1:12" s="367" customFormat="1" ht="12.75" hidden="1" customHeight="1" x14ac:dyDescent="0.2">
      <c r="A393" s="317"/>
      <c r="B393" s="649"/>
      <c r="C393" s="650"/>
      <c r="D393" s="311" t="s">
        <v>499</v>
      </c>
      <c r="E393" s="628"/>
      <c r="F393" s="652"/>
      <c r="G393" s="628"/>
      <c r="H393" s="661"/>
    </row>
    <row r="394" spans="1:12" s="367" customFormat="1" ht="12.75" hidden="1" customHeight="1" x14ac:dyDescent="0.2">
      <c r="A394" s="317"/>
      <c r="B394" s="649"/>
      <c r="C394" s="650"/>
      <c r="D394" s="311" t="s">
        <v>507</v>
      </c>
      <c r="E394" s="628"/>
      <c r="F394" s="652"/>
      <c r="G394" s="628"/>
      <c r="H394" s="661"/>
    </row>
    <row r="395" spans="1:12" s="367" customFormat="1" ht="12.75" hidden="1" customHeight="1" x14ac:dyDescent="0.2">
      <c r="A395" s="317"/>
      <c r="B395" s="649"/>
      <c r="C395" s="650"/>
      <c r="D395" s="658" t="s">
        <v>517</v>
      </c>
      <c r="E395" s="628"/>
      <c r="F395" s="652"/>
      <c r="G395" s="628"/>
      <c r="H395" s="661"/>
    </row>
    <row r="396" spans="1:12" s="367" customFormat="1" ht="12.75" customHeight="1" x14ac:dyDescent="0.2">
      <c r="A396" s="617">
        <f>1+A387</f>
        <v>43</v>
      </c>
      <c r="B396" s="631">
        <v>4090</v>
      </c>
      <c r="C396" s="632" t="s">
        <v>541</v>
      </c>
      <c r="D396" s="662" t="str">
        <f>$D$12</f>
        <v>FTE September 2025</v>
      </c>
      <c r="E396" s="621">
        <f>'4090'!$J$124</f>
        <v>185341.43</v>
      </c>
      <c r="F396" s="634"/>
      <c r="G396" s="621">
        <f>SUBTOTAL(109,E396:F405)</f>
        <v>185341.43</v>
      </c>
      <c r="H396" s="661"/>
    </row>
    <row r="397" spans="1:12" s="367" customFormat="1" ht="12.75" hidden="1" customHeight="1" x14ac:dyDescent="0.2">
      <c r="A397" s="617"/>
      <c r="B397" s="631"/>
      <c r="C397" s="632"/>
      <c r="D397" s="636" t="s">
        <v>494</v>
      </c>
      <c r="E397" s="621"/>
      <c r="F397" s="634"/>
      <c r="G397" s="621"/>
      <c r="H397" s="661"/>
      <c r="L397" s="656"/>
    </row>
    <row r="398" spans="1:12" s="367" customFormat="1" ht="12.75" hidden="1" customHeight="1" x14ac:dyDescent="0.2">
      <c r="A398" s="617"/>
      <c r="B398" s="631"/>
      <c r="C398" s="632"/>
      <c r="D398" s="637" t="s">
        <v>542</v>
      </c>
      <c r="E398" s="621"/>
      <c r="F398" s="634"/>
      <c r="G398" s="621"/>
      <c r="H398" s="661"/>
    </row>
    <row r="399" spans="1:12" s="367" customFormat="1" ht="12.75" hidden="1" customHeight="1" x14ac:dyDescent="0.2">
      <c r="A399" s="617"/>
      <c r="B399" s="631"/>
      <c r="C399" s="632"/>
      <c r="D399" s="637" t="s">
        <v>515</v>
      </c>
      <c r="E399" s="621"/>
      <c r="F399" s="634"/>
      <c r="G399" s="621"/>
      <c r="H399" s="661"/>
      <c r="I399" s="649"/>
    </row>
    <row r="400" spans="1:12" s="367" customFormat="1" ht="12.75" hidden="1" customHeight="1" x14ac:dyDescent="0.2">
      <c r="A400" s="617"/>
      <c r="B400" s="631"/>
      <c r="C400" s="632"/>
      <c r="D400" s="636" t="s">
        <v>496</v>
      </c>
      <c r="E400" s="621"/>
      <c r="F400" s="634"/>
      <c r="G400" s="621"/>
      <c r="H400" s="661"/>
    </row>
    <row r="401" spans="1:13" s="367" customFormat="1" ht="12.75" hidden="1" customHeight="1" x14ac:dyDescent="0.2">
      <c r="A401" s="617"/>
      <c r="B401" s="631"/>
      <c r="C401" s="632"/>
      <c r="D401" s="636" t="s">
        <v>497</v>
      </c>
      <c r="E401" s="621"/>
      <c r="F401" s="634"/>
      <c r="G401" s="621"/>
      <c r="H401" s="661"/>
    </row>
    <row r="402" spans="1:13" s="367" customFormat="1" ht="12.75" hidden="1" customHeight="1" x14ac:dyDescent="0.2">
      <c r="A402" s="617"/>
      <c r="B402" s="631"/>
      <c r="C402" s="632"/>
      <c r="D402" s="636" t="s">
        <v>498</v>
      </c>
      <c r="E402" s="621"/>
      <c r="F402" s="634"/>
      <c r="G402" s="621"/>
      <c r="H402" s="661"/>
    </row>
    <row r="403" spans="1:13" s="367" customFormat="1" ht="12.75" hidden="1" customHeight="1" x14ac:dyDescent="0.2">
      <c r="A403" s="617"/>
      <c r="B403" s="631"/>
      <c r="C403" s="632"/>
      <c r="D403" s="636" t="s">
        <v>499</v>
      </c>
      <c r="E403" s="621"/>
      <c r="F403" s="634"/>
      <c r="G403" s="621"/>
      <c r="H403" s="661"/>
      <c r="I403" s="646"/>
    </row>
    <row r="404" spans="1:13" s="367" customFormat="1" ht="12.75" hidden="1" customHeight="1" x14ac:dyDescent="0.2">
      <c r="A404" s="617"/>
      <c r="B404" s="631"/>
      <c r="C404" s="632"/>
      <c r="D404" s="636" t="s">
        <v>507</v>
      </c>
      <c r="E404" s="621"/>
      <c r="F404" s="634"/>
      <c r="G404" s="621"/>
      <c r="H404" s="661"/>
      <c r="I404" s="642"/>
    </row>
    <row r="405" spans="1:13" s="367" customFormat="1" ht="12.75" hidden="1" customHeight="1" x14ac:dyDescent="0.2">
      <c r="A405" s="617"/>
      <c r="B405" s="631"/>
      <c r="C405" s="632"/>
      <c r="D405" s="636" t="s">
        <v>543</v>
      </c>
      <c r="E405" s="621"/>
      <c r="F405" s="634"/>
      <c r="G405" s="621"/>
      <c r="H405" s="661"/>
      <c r="I405" s="646"/>
    </row>
    <row r="406" spans="1:13" s="367" customFormat="1" ht="12.75" customHeight="1" x14ac:dyDescent="0.2">
      <c r="A406" s="317">
        <f>1+A396</f>
        <v>44</v>
      </c>
      <c r="B406" s="341">
        <v>4091</v>
      </c>
      <c r="C406" s="344" t="s">
        <v>283</v>
      </c>
      <c r="D406" s="651" t="str">
        <f>$D$12</f>
        <v>FTE September 2025</v>
      </c>
      <c r="E406" s="628">
        <f>'4091'!$J$124</f>
        <v>288895.8</v>
      </c>
      <c r="F406" s="652"/>
      <c r="G406" s="628">
        <f>SUBTOTAL(109,E406:F415)</f>
        <v>288895.8</v>
      </c>
      <c r="H406" s="661"/>
      <c r="L406" s="656"/>
    </row>
    <row r="407" spans="1:13" s="367" customFormat="1" ht="12.75" hidden="1" customHeight="1" x14ac:dyDescent="0.2">
      <c r="A407" s="317"/>
      <c r="B407" s="341"/>
      <c r="C407" s="344"/>
      <c r="D407" s="311" t="s">
        <v>519</v>
      </c>
      <c r="E407" s="628"/>
      <c r="F407" s="652"/>
      <c r="G407" s="628"/>
      <c r="H407" s="661"/>
    </row>
    <row r="408" spans="1:13" s="367" customFormat="1" ht="12.75" hidden="1" customHeight="1" x14ac:dyDescent="0.2">
      <c r="A408" s="317"/>
      <c r="B408" s="649"/>
      <c r="C408" s="650"/>
      <c r="D408" s="654" t="s">
        <v>495</v>
      </c>
      <c r="E408" s="628"/>
      <c r="F408" s="652"/>
      <c r="G408" s="628"/>
      <c r="H408" s="661"/>
      <c r="I408" s="649"/>
    </row>
    <row r="409" spans="1:13" s="367" customFormat="1" ht="12.75" hidden="1" customHeight="1" x14ac:dyDescent="0.2">
      <c r="A409" s="317"/>
      <c r="B409" s="341"/>
      <c r="C409" s="344"/>
      <c r="D409" s="311" t="s">
        <v>496</v>
      </c>
      <c r="E409" s="628"/>
      <c r="F409" s="652"/>
      <c r="G409" s="628"/>
      <c r="H409" s="661"/>
      <c r="I409" s="649"/>
    </row>
    <row r="410" spans="1:13" s="367" customFormat="1" ht="12.75" hidden="1" customHeight="1" x14ac:dyDescent="0.2">
      <c r="A410" s="317"/>
      <c r="B410" s="341"/>
      <c r="C410" s="344"/>
      <c r="D410" s="311" t="s">
        <v>497</v>
      </c>
      <c r="E410" s="628"/>
      <c r="F410" s="652"/>
      <c r="G410" s="628"/>
      <c r="H410" s="661"/>
    </row>
    <row r="411" spans="1:13" s="367" customFormat="1" ht="12.75" hidden="1" customHeight="1" x14ac:dyDescent="0.2">
      <c r="A411" s="317"/>
      <c r="B411" s="341"/>
      <c r="C411" s="344"/>
      <c r="D411" s="311" t="s">
        <v>498</v>
      </c>
      <c r="E411" s="628"/>
      <c r="F411" s="652"/>
      <c r="G411" s="628"/>
      <c r="H411" s="661"/>
    </row>
    <row r="412" spans="1:13" s="367" customFormat="1" ht="12.75" hidden="1" customHeight="1" x14ac:dyDescent="0.2">
      <c r="A412" s="317"/>
      <c r="B412" s="649"/>
      <c r="C412" s="650"/>
      <c r="D412" s="311" t="s">
        <v>499</v>
      </c>
      <c r="E412" s="628"/>
      <c r="F412" s="652"/>
      <c r="G412" s="628"/>
      <c r="H412" s="661"/>
    </row>
    <row r="413" spans="1:13" s="367" customFormat="1" ht="12.75" hidden="1" customHeight="1" x14ac:dyDescent="0.2">
      <c r="A413" s="317"/>
      <c r="B413" s="649"/>
      <c r="C413" s="650"/>
      <c r="D413" s="311" t="s">
        <v>507</v>
      </c>
      <c r="E413" s="628"/>
      <c r="F413" s="652"/>
      <c r="G413" s="628"/>
      <c r="H413" s="661"/>
    </row>
    <row r="414" spans="1:13" s="367" customFormat="1" ht="12.75" hidden="1" customHeight="1" x14ac:dyDescent="0.2">
      <c r="A414" s="317"/>
      <c r="B414" s="649"/>
      <c r="C414" s="650"/>
      <c r="D414" s="658" t="s">
        <v>544</v>
      </c>
      <c r="E414" s="628"/>
      <c r="F414" s="652"/>
      <c r="G414" s="628"/>
      <c r="H414" s="661"/>
    </row>
    <row r="415" spans="1:13" s="367" customFormat="1" ht="12.75" hidden="1" customHeight="1" x14ac:dyDescent="0.2">
      <c r="A415" s="317"/>
      <c r="B415" s="649"/>
      <c r="C415" s="650"/>
      <c r="D415" s="660" t="s">
        <v>545</v>
      </c>
      <c r="E415" s="628"/>
      <c r="F415" s="652"/>
      <c r="G415" s="628"/>
      <c r="H415" s="661"/>
    </row>
    <row r="416" spans="1:13" s="367" customFormat="1" ht="12.75" customHeight="1" x14ac:dyDescent="0.2">
      <c r="A416" s="617">
        <f>1+A406</f>
        <v>45</v>
      </c>
      <c r="B416" s="631">
        <v>4100</v>
      </c>
      <c r="C416" s="632" t="s">
        <v>302</v>
      </c>
      <c r="D416" s="662" t="str">
        <f>$D$12</f>
        <v>FTE September 2025</v>
      </c>
      <c r="E416" s="621">
        <f>'4100'!$J$124</f>
        <v>321124.13</v>
      </c>
      <c r="F416" s="634"/>
      <c r="G416" s="621">
        <f>SUBTOTAL(109,E416:F424)</f>
        <v>321124.13</v>
      </c>
      <c r="H416" s="661"/>
      <c r="M416" s="656"/>
    </row>
    <row r="417" spans="1:9" s="367" customFormat="1" ht="12.75" hidden="1" customHeight="1" x14ac:dyDescent="0.2">
      <c r="A417" s="617"/>
      <c r="B417" s="631"/>
      <c r="C417" s="632"/>
      <c r="D417" s="636" t="s">
        <v>494</v>
      </c>
      <c r="E417" s="621"/>
      <c r="F417" s="634"/>
      <c r="G417" s="621"/>
      <c r="H417" s="661"/>
    </row>
    <row r="418" spans="1:9" s="367" customFormat="1" ht="12.75" hidden="1" customHeight="1" x14ac:dyDescent="0.2">
      <c r="A418" s="617"/>
      <c r="B418" s="631"/>
      <c r="C418" s="632"/>
      <c r="D418" s="637" t="s">
        <v>495</v>
      </c>
      <c r="E418" s="621"/>
      <c r="F418" s="634"/>
      <c r="G418" s="621"/>
      <c r="H418" s="661"/>
      <c r="I418" s="649"/>
    </row>
    <row r="419" spans="1:9" s="367" customFormat="1" ht="12.75" hidden="1" customHeight="1" x14ac:dyDescent="0.2">
      <c r="A419" s="617"/>
      <c r="B419" s="631"/>
      <c r="C419" s="632"/>
      <c r="D419" s="636" t="s">
        <v>496</v>
      </c>
      <c r="E419" s="621"/>
      <c r="F419" s="634"/>
      <c r="G419" s="621"/>
      <c r="H419" s="661"/>
    </row>
    <row r="420" spans="1:9" s="367" customFormat="1" ht="12.75" hidden="1" customHeight="1" x14ac:dyDescent="0.2">
      <c r="A420" s="617"/>
      <c r="B420" s="631"/>
      <c r="C420" s="632"/>
      <c r="D420" s="636" t="s">
        <v>497</v>
      </c>
      <c r="E420" s="621"/>
      <c r="F420" s="634"/>
      <c r="G420" s="621"/>
      <c r="H420" s="661"/>
    </row>
    <row r="421" spans="1:9" s="367" customFormat="1" ht="12.75" hidden="1" customHeight="1" x14ac:dyDescent="0.2">
      <c r="A421" s="617"/>
      <c r="B421" s="631"/>
      <c r="C421" s="632"/>
      <c r="D421" s="636" t="s">
        <v>498</v>
      </c>
      <c r="E421" s="621"/>
      <c r="F421" s="634"/>
      <c r="G421" s="621"/>
      <c r="H421" s="661"/>
    </row>
    <row r="422" spans="1:9" s="367" customFormat="1" ht="12.75" hidden="1" customHeight="1" x14ac:dyDescent="0.2">
      <c r="A422" s="617"/>
      <c r="B422" s="631"/>
      <c r="C422" s="632"/>
      <c r="D422" s="636" t="s">
        <v>499</v>
      </c>
      <c r="E422" s="621"/>
      <c r="F422" s="634"/>
      <c r="G422" s="621"/>
      <c r="H422" s="661"/>
      <c r="I422" s="646"/>
    </row>
    <row r="423" spans="1:9" s="367" customFormat="1" ht="12.75" hidden="1" customHeight="1" x14ac:dyDescent="0.2">
      <c r="A423" s="617"/>
      <c r="B423" s="631"/>
      <c r="C423" s="632"/>
      <c r="D423" s="636" t="s">
        <v>507</v>
      </c>
      <c r="E423" s="621"/>
      <c r="F423" s="634"/>
      <c r="G423" s="621"/>
      <c r="H423" s="661"/>
      <c r="I423" s="642"/>
    </row>
    <row r="424" spans="1:9" s="367" customFormat="1" ht="12.75" hidden="1" customHeight="1" x14ac:dyDescent="0.2">
      <c r="A424" s="617"/>
      <c r="B424" s="631"/>
      <c r="C424" s="632"/>
      <c r="D424" s="636" t="s">
        <v>517</v>
      </c>
      <c r="E424" s="621"/>
      <c r="F424" s="634"/>
      <c r="G424" s="621"/>
      <c r="H424" s="661"/>
    </row>
    <row r="425" spans="1:9" s="367" customFormat="1" ht="12.75" customHeight="1" x14ac:dyDescent="0.2">
      <c r="A425" s="317">
        <f>1+A416</f>
        <v>46</v>
      </c>
      <c r="B425" s="341">
        <v>4102</v>
      </c>
      <c r="C425" s="344" t="s">
        <v>300</v>
      </c>
      <c r="D425" s="651" t="str">
        <f>$D$12</f>
        <v>FTE September 2025</v>
      </c>
      <c r="E425" s="628">
        <f>'4102'!$J$124</f>
        <v>129838.42</v>
      </c>
      <c r="F425" s="652"/>
      <c r="G425" s="628">
        <f>SUBTOTAL(109,E425:F432)</f>
        <v>129838.42</v>
      </c>
      <c r="H425" s="661"/>
    </row>
    <row r="426" spans="1:9" s="367" customFormat="1" ht="12.75" hidden="1" customHeight="1" x14ac:dyDescent="0.2">
      <c r="A426" s="317"/>
      <c r="B426" s="341"/>
      <c r="C426" s="344"/>
      <c r="D426" s="311" t="s">
        <v>519</v>
      </c>
      <c r="E426" s="628"/>
      <c r="F426" s="652">
        <v>0</v>
      </c>
      <c r="G426" s="628"/>
      <c r="H426" s="661"/>
    </row>
    <row r="427" spans="1:9" s="367" customFormat="1" ht="12.75" hidden="1" customHeight="1" x14ac:dyDescent="0.2">
      <c r="A427" s="317"/>
      <c r="B427" s="649"/>
      <c r="C427" s="650"/>
      <c r="D427" s="654"/>
      <c r="E427" s="672"/>
      <c r="F427" s="652"/>
      <c r="G427" s="628"/>
      <c r="H427" s="661"/>
    </row>
    <row r="428" spans="1:9" s="367" customFormat="1" ht="12.75" hidden="1" customHeight="1" x14ac:dyDescent="0.2">
      <c r="A428" s="317"/>
      <c r="B428" s="341"/>
      <c r="C428" s="344"/>
      <c r="D428" s="654" t="s">
        <v>527</v>
      </c>
      <c r="E428" s="628"/>
      <c r="F428" s="652"/>
      <c r="G428" s="628"/>
      <c r="H428" s="661"/>
      <c r="I428" s="649"/>
    </row>
    <row r="429" spans="1:9" s="367" customFormat="1" ht="12.75" hidden="1" customHeight="1" x14ac:dyDescent="0.2">
      <c r="A429" s="317"/>
      <c r="B429" s="341"/>
      <c r="C429" s="344"/>
      <c r="D429" s="311" t="s">
        <v>497</v>
      </c>
      <c r="E429" s="628"/>
      <c r="F429" s="652"/>
      <c r="G429" s="628"/>
      <c r="H429" s="661"/>
    </row>
    <row r="430" spans="1:9" s="367" customFormat="1" ht="12.75" hidden="1" customHeight="1" x14ac:dyDescent="0.2">
      <c r="A430" s="317"/>
      <c r="B430" s="341"/>
      <c r="C430" s="344"/>
      <c r="D430" s="311" t="s">
        <v>498</v>
      </c>
      <c r="E430" s="628"/>
      <c r="F430" s="652"/>
      <c r="G430" s="628"/>
      <c r="H430" s="661"/>
    </row>
    <row r="431" spans="1:9" s="367" customFormat="1" ht="12.75" hidden="1" customHeight="1" x14ac:dyDescent="0.2">
      <c r="A431" s="317"/>
      <c r="B431" s="649"/>
      <c r="C431" s="650"/>
      <c r="D431" s="311" t="s">
        <v>499</v>
      </c>
      <c r="E431" s="628"/>
      <c r="F431" s="652"/>
      <c r="G431" s="628"/>
      <c r="H431" s="661"/>
    </row>
    <row r="432" spans="1:9" s="367" customFormat="1" ht="12.75" hidden="1" customHeight="1" x14ac:dyDescent="0.2">
      <c r="A432" s="317"/>
      <c r="B432" s="649"/>
      <c r="C432" s="650"/>
      <c r="D432" s="658"/>
      <c r="E432" s="628"/>
      <c r="F432" s="652"/>
      <c r="G432" s="628"/>
      <c r="H432" s="661"/>
    </row>
    <row r="433" spans="1:9" s="367" customFormat="1" ht="12.75" customHeight="1" x14ac:dyDescent="0.2">
      <c r="A433" s="617">
        <f>A425+1</f>
        <v>47</v>
      </c>
      <c r="B433" s="631">
        <v>4103</v>
      </c>
      <c r="C433" s="632" t="s">
        <v>546</v>
      </c>
      <c r="D433" s="662" t="str">
        <f>$D$12</f>
        <v>FTE September 2025</v>
      </c>
      <c r="E433" s="621">
        <f>'4103'!$J$124</f>
        <v>702200.36</v>
      </c>
      <c r="F433" s="634"/>
      <c r="G433" s="621">
        <f>SUBTOTAL(109,E433:F442)</f>
        <v>702200.36</v>
      </c>
      <c r="H433" s="661"/>
    </row>
    <row r="434" spans="1:9" s="367" customFormat="1" ht="12.75" hidden="1" customHeight="1" x14ac:dyDescent="0.2">
      <c r="A434" s="617"/>
      <c r="B434" s="631"/>
      <c r="C434" s="632"/>
      <c r="D434" s="636" t="s">
        <v>494</v>
      </c>
      <c r="E434" s="621"/>
      <c r="F434" s="634"/>
      <c r="G434" s="621"/>
      <c r="H434" s="661"/>
    </row>
    <row r="435" spans="1:9" s="367" customFormat="1" ht="12.75" hidden="1" customHeight="1" x14ac:dyDescent="0.2">
      <c r="A435" s="617"/>
      <c r="B435" s="631"/>
      <c r="C435" s="632"/>
      <c r="D435" s="637" t="s">
        <v>495</v>
      </c>
      <c r="E435" s="621"/>
      <c r="F435" s="634"/>
      <c r="G435" s="621"/>
      <c r="H435" s="661"/>
    </row>
    <row r="436" spans="1:9" s="367" customFormat="1" ht="12.75" hidden="1" customHeight="1" x14ac:dyDescent="0.2">
      <c r="A436" s="617"/>
      <c r="B436" s="631"/>
      <c r="C436" s="632"/>
      <c r="D436" s="637" t="s">
        <v>515</v>
      </c>
      <c r="E436" s="621"/>
      <c r="F436" s="634"/>
      <c r="G436" s="621"/>
      <c r="H436" s="661"/>
    </row>
    <row r="437" spans="1:9" s="367" customFormat="1" ht="12.75" hidden="1" customHeight="1" x14ac:dyDescent="0.2">
      <c r="A437" s="617"/>
      <c r="B437" s="631"/>
      <c r="C437" s="632"/>
      <c r="D437" s="636" t="s">
        <v>496</v>
      </c>
      <c r="E437" s="621"/>
      <c r="F437" s="634"/>
      <c r="G437" s="621"/>
      <c r="H437" s="661"/>
      <c r="I437" s="649"/>
    </row>
    <row r="438" spans="1:9" s="367" customFormat="1" ht="12.75" hidden="1" customHeight="1" x14ac:dyDescent="0.2">
      <c r="A438" s="617"/>
      <c r="B438" s="631"/>
      <c r="C438" s="632"/>
      <c r="D438" s="636" t="s">
        <v>497</v>
      </c>
      <c r="E438" s="621"/>
      <c r="F438" s="634"/>
      <c r="G438" s="621"/>
      <c r="H438" s="661"/>
    </row>
    <row r="439" spans="1:9" s="367" customFormat="1" ht="12.75" hidden="1" customHeight="1" x14ac:dyDescent="0.2">
      <c r="A439" s="617"/>
      <c r="B439" s="631"/>
      <c r="C439" s="632"/>
      <c r="D439" s="636" t="s">
        <v>498</v>
      </c>
      <c r="E439" s="621"/>
      <c r="F439" s="634"/>
      <c r="G439" s="621"/>
      <c r="H439" s="661"/>
    </row>
    <row r="440" spans="1:9" s="367" customFormat="1" ht="12.75" hidden="1" customHeight="1" x14ac:dyDescent="0.2">
      <c r="A440" s="617"/>
      <c r="B440" s="631"/>
      <c r="C440" s="632"/>
      <c r="D440" s="636" t="s">
        <v>499</v>
      </c>
      <c r="E440" s="621"/>
      <c r="F440" s="634"/>
      <c r="G440" s="621"/>
      <c r="H440" s="661"/>
      <c r="I440" s="309"/>
    </row>
    <row r="441" spans="1:9" s="367" customFormat="1" ht="12.75" hidden="1" customHeight="1" x14ac:dyDescent="0.2">
      <c r="A441" s="617"/>
      <c r="B441" s="631"/>
      <c r="C441" s="632"/>
      <c r="D441" s="636" t="s">
        <v>507</v>
      </c>
      <c r="E441" s="621"/>
      <c r="F441" s="634"/>
      <c r="G441" s="621"/>
      <c r="H441" s="661"/>
      <c r="I441" s="646"/>
    </row>
    <row r="442" spans="1:9" s="367" customFormat="1" ht="12.75" hidden="1" customHeight="1" x14ac:dyDescent="0.2">
      <c r="A442" s="617"/>
      <c r="B442" s="631"/>
      <c r="C442" s="632"/>
      <c r="D442" s="636" t="s">
        <v>517</v>
      </c>
      <c r="E442" s="621"/>
      <c r="F442" s="634"/>
      <c r="G442" s="621"/>
      <c r="H442" s="661"/>
      <c r="I442" s="646"/>
    </row>
    <row r="443" spans="1:9" s="367" customFormat="1" ht="12.75" customHeight="1" x14ac:dyDescent="0.2">
      <c r="A443" s="317">
        <f>1+A433</f>
        <v>48</v>
      </c>
      <c r="B443" s="341">
        <v>4111</v>
      </c>
      <c r="C443" s="344" t="s">
        <v>287</v>
      </c>
      <c r="D443" s="651" t="str">
        <f>$D$12</f>
        <v>FTE September 2025</v>
      </c>
      <c r="E443" s="628">
        <f>'4111'!$J$124</f>
        <v>205064.94</v>
      </c>
      <c r="F443" s="652"/>
      <c r="G443" s="628">
        <f>SUBTOTAL(109,E443:F451)</f>
        <v>205064.94</v>
      </c>
      <c r="H443" s="661"/>
    </row>
    <row r="444" spans="1:9" s="367" customFormat="1" ht="12.75" hidden="1" customHeight="1" x14ac:dyDescent="0.2">
      <c r="A444" s="317"/>
      <c r="B444" s="341"/>
      <c r="C444" s="344"/>
      <c r="D444" s="311" t="s">
        <v>519</v>
      </c>
      <c r="E444" s="628"/>
      <c r="F444" s="652"/>
      <c r="G444" s="628"/>
      <c r="H444" s="661"/>
    </row>
    <row r="445" spans="1:9" s="367" customFormat="1" ht="12.75" hidden="1" customHeight="1" x14ac:dyDescent="0.2">
      <c r="A445" s="317"/>
      <c r="B445" s="649"/>
      <c r="C445" s="650"/>
      <c r="D445" s="654" t="s">
        <v>495</v>
      </c>
      <c r="E445" s="628"/>
      <c r="F445" s="652"/>
      <c r="G445" s="628"/>
      <c r="H445" s="661"/>
      <c r="I445" s="649"/>
    </row>
    <row r="446" spans="1:9" s="367" customFormat="1" ht="12.75" hidden="1" customHeight="1" x14ac:dyDescent="0.2">
      <c r="A446" s="317"/>
      <c r="B446" s="341"/>
      <c r="C446" s="344"/>
      <c r="D446" s="311" t="s">
        <v>496</v>
      </c>
      <c r="E446" s="628"/>
      <c r="F446" s="652"/>
      <c r="G446" s="628"/>
      <c r="H446" s="661"/>
      <c r="I446" s="649"/>
    </row>
    <row r="447" spans="1:9" s="367" customFormat="1" ht="12.75" hidden="1" customHeight="1" x14ac:dyDescent="0.2">
      <c r="A447" s="317"/>
      <c r="B447" s="341"/>
      <c r="C447" s="344"/>
      <c r="D447" s="311" t="s">
        <v>497</v>
      </c>
      <c r="E447" s="628"/>
      <c r="F447" s="652"/>
      <c r="G447" s="628"/>
      <c r="H447" s="661"/>
    </row>
    <row r="448" spans="1:9" s="367" customFormat="1" ht="12.75" hidden="1" customHeight="1" x14ac:dyDescent="0.2">
      <c r="A448" s="317"/>
      <c r="B448" s="341"/>
      <c r="C448" s="344"/>
      <c r="D448" s="311" t="s">
        <v>498</v>
      </c>
      <c r="E448" s="628"/>
      <c r="F448" s="652"/>
      <c r="G448" s="628"/>
      <c r="H448" s="661"/>
    </row>
    <row r="449" spans="1:9" s="367" customFormat="1" ht="12.75" hidden="1" customHeight="1" x14ac:dyDescent="0.2">
      <c r="A449" s="317"/>
      <c r="B449" s="649"/>
      <c r="C449" s="650"/>
      <c r="D449" s="311" t="s">
        <v>499</v>
      </c>
      <c r="E449" s="628"/>
      <c r="F449" s="652"/>
      <c r="G449" s="628"/>
      <c r="H449" s="661"/>
    </row>
    <row r="450" spans="1:9" s="367" customFormat="1" hidden="1" x14ac:dyDescent="0.2">
      <c r="A450" s="317"/>
      <c r="B450" s="649"/>
      <c r="C450" s="650"/>
      <c r="D450" s="311" t="s">
        <v>507</v>
      </c>
      <c r="E450" s="628"/>
      <c r="F450" s="652"/>
      <c r="G450" s="628"/>
      <c r="H450" s="661"/>
    </row>
    <row r="451" spans="1:9" s="367" customFormat="1" hidden="1" x14ac:dyDescent="0.2">
      <c r="A451" s="317"/>
      <c r="B451" s="649"/>
      <c r="C451" s="650"/>
      <c r="D451" s="658" t="s">
        <v>517</v>
      </c>
      <c r="E451" s="628"/>
      <c r="F451" s="652"/>
      <c r="G451" s="628"/>
      <c r="H451" s="661"/>
    </row>
    <row r="452" spans="1:9" s="367" customFormat="1" ht="12.75" customHeight="1" x14ac:dyDescent="0.2">
      <c r="A452" s="617">
        <f>1+A443</f>
        <v>49</v>
      </c>
      <c r="B452" s="673">
        <v>4131</v>
      </c>
      <c r="C452" s="674" t="s">
        <v>288</v>
      </c>
      <c r="D452" s="662" t="str">
        <f>$D$12</f>
        <v>FTE September 2025</v>
      </c>
      <c r="E452" s="621">
        <f>'4131'!$J$124</f>
        <v>67991.27</v>
      </c>
      <c r="F452" s="634"/>
      <c r="G452" s="621">
        <f>SUBTOTAL(109,E452:F460)</f>
        <v>67991.27</v>
      </c>
      <c r="H452" s="661"/>
    </row>
    <row r="453" spans="1:9" s="367" customFormat="1" ht="12.75" hidden="1" customHeight="1" x14ac:dyDescent="0.2">
      <c r="A453" s="617"/>
      <c r="B453" s="673"/>
      <c r="C453" s="674"/>
      <c r="D453" s="636" t="s">
        <v>494</v>
      </c>
      <c r="E453" s="621"/>
      <c r="F453" s="634"/>
      <c r="G453" s="621"/>
      <c r="H453" s="661"/>
    </row>
    <row r="454" spans="1:9" s="367" customFormat="1" ht="12.75" hidden="1" customHeight="1" x14ac:dyDescent="0.2">
      <c r="A454" s="617"/>
      <c r="B454" s="631"/>
      <c r="C454" s="632"/>
      <c r="D454" s="637" t="s">
        <v>542</v>
      </c>
      <c r="E454" s="621"/>
      <c r="F454" s="634"/>
      <c r="G454" s="621"/>
      <c r="H454" s="661"/>
    </row>
    <row r="455" spans="1:9" s="367" customFormat="1" ht="12.75" hidden="1" customHeight="1" x14ac:dyDescent="0.2">
      <c r="A455" s="617"/>
      <c r="B455" s="673"/>
      <c r="C455" s="674"/>
      <c r="D455" s="636" t="s">
        <v>496</v>
      </c>
      <c r="E455" s="621"/>
      <c r="F455" s="634"/>
      <c r="G455" s="621"/>
      <c r="H455" s="661"/>
      <c r="I455" s="649"/>
    </row>
    <row r="456" spans="1:9" s="367" customFormat="1" ht="12.75" hidden="1" customHeight="1" x14ac:dyDescent="0.2">
      <c r="A456" s="617"/>
      <c r="B456" s="673"/>
      <c r="C456" s="674"/>
      <c r="D456" s="636" t="s">
        <v>497</v>
      </c>
      <c r="E456" s="621"/>
      <c r="F456" s="634"/>
      <c r="G456" s="621"/>
      <c r="H456" s="661"/>
    </row>
    <row r="457" spans="1:9" s="367" customFormat="1" ht="12.75" hidden="1" customHeight="1" x14ac:dyDescent="0.2">
      <c r="A457" s="617"/>
      <c r="B457" s="673"/>
      <c r="C457" s="674"/>
      <c r="D457" s="636" t="s">
        <v>498</v>
      </c>
      <c r="E457" s="621"/>
      <c r="F457" s="634"/>
      <c r="G457" s="621"/>
      <c r="H457" s="661"/>
    </row>
    <row r="458" spans="1:9" s="367" customFormat="1" ht="12.75" hidden="1" customHeight="1" x14ac:dyDescent="0.2">
      <c r="A458" s="617"/>
      <c r="B458" s="631"/>
      <c r="C458" s="632"/>
      <c r="D458" s="636" t="s">
        <v>499</v>
      </c>
      <c r="E458" s="621"/>
      <c r="F458" s="634"/>
      <c r="G458" s="621"/>
      <c r="H458" s="661"/>
      <c r="I458" s="309"/>
    </row>
    <row r="459" spans="1:9" s="367" customFormat="1" ht="12.75" hidden="1" customHeight="1" x14ac:dyDescent="0.2">
      <c r="A459" s="617"/>
      <c r="B459" s="631"/>
      <c r="C459" s="632"/>
      <c r="D459" s="636" t="s">
        <v>507</v>
      </c>
      <c r="E459" s="621"/>
      <c r="F459" s="634"/>
      <c r="G459" s="621"/>
      <c r="H459" s="661"/>
      <c r="I459" s="646"/>
    </row>
    <row r="460" spans="1:9" s="367" customFormat="1" ht="12.75" hidden="1" customHeight="1" x14ac:dyDescent="0.2">
      <c r="A460" s="617"/>
      <c r="B460" s="631"/>
      <c r="C460" s="632"/>
      <c r="D460" s="665" t="s">
        <v>517</v>
      </c>
      <c r="E460" s="621"/>
      <c r="F460" s="634"/>
      <c r="G460" s="621"/>
      <c r="H460" s="661"/>
      <c r="I460" s="642"/>
    </row>
    <row r="461" spans="1:9" s="367" customFormat="1" ht="12.75" customHeight="1" x14ac:dyDescent="0.2">
      <c r="A461" s="310"/>
      <c r="B461" s="309"/>
      <c r="C461" s="309"/>
      <c r="D461" s="675"/>
      <c r="E461" s="309"/>
      <c r="F461" s="676"/>
      <c r="G461" s="309"/>
      <c r="H461" s="661"/>
      <c r="I461" s="646"/>
    </row>
    <row r="462" spans="1:9" s="367" customFormat="1" ht="12.75" customHeight="1" thickBot="1" x14ac:dyDescent="0.25">
      <c r="A462" s="309"/>
      <c r="B462" s="612"/>
      <c r="C462" s="608"/>
      <c r="D462" s="675" t="s">
        <v>547</v>
      </c>
      <c r="E462" s="677">
        <f>SUBTOTAL(109,E5:E461)</f>
        <v>17349100.219999999</v>
      </c>
      <c r="F462" s="677">
        <f>SUBTOTAL(109,F12:F461)</f>
        <v>-790.72</v>
      </c>
      <c r="G462" s="677">
        <f>ROUND(SUM(G5:G461),2)</f>
        <v>17348309.5</v>
      </c>
      <c r="H462" s="661"/>
    </row>
    <row r="463" spans="1:9" s="367" customFormat="1" ht="12.75" customHeight="1" thickTop="1" x14ac:dyDescent="0.2">
      <c r="A463" s="309"/>
      <c r="B463" s="612"/>
      <c r="C463" s="608"/>
      <c r="D463" s="309"/>
      <c r="E463" s="309"/>
      <c r="F463" s="605"/>
      <c r="G463" s="332">
        <f>ROUND(G462-E462-F462,2)</f>
        <v>0</v>
      </c>
      <c r="H463" s="661"/>
    </row>
    <row r="464" spans="1:9" s="367" customFormat="1" ht="12.75" customHeight="1" x14ac:dyDescent="0.2">
      <c r="A464" s="309"/>
      <c r="B464" s="612"/>
      <c r="C464" s="608"/>
      <c r="D464" s="309"/>
      <c r="E464" s="309"/>
      <c r="F464" s="605"/>
      <c r="G464" s="309"/>
      <c r="H464" s="661"/>
      <c r="I464" s="649"/>
    </row>
    <row r="465" spans="1:10" s="367" customFormat="1" ht="12.75" customHeight="1" x14ac:dyDescent="0.2">
      <c r="A465" s="309"/>
      <c r="B465" s="612"/>
      <c r="C465" s="608"/>
      <c r="D465" s="309"/>
      <c r="E465" s="309"/>
      <c r="F465" s="605"/>
      <c r="G465" s="309"/>
      <c r="H465" s="661"/>
    </row>
    <row r="466" spans="1:10" s="367" customFormat="1" ht="12.75" customHeight="1" x14ac:dyDescent="0.2">
      <c r="A466" s="309"/>
      <c r="B466" s="612"/>
      <c r="C466" s="608"/>
      <c r="D466" s="309"/>
      <c r="E466" s="309"/>
      <c r="F466" s="605"/>
      <c r="G466" s="309"/>
      <c r="H466" s="661"/>
    </row>
    <row r="467" spans="1:10" s="367" customFormat="1" ht="12.75" customHeight="1" x14ac:dyDescent="0.2">
      <c r="A467" s="309"/>
      <c r="B467" s="612"/>
      <c r="C467" s="608"/>
      <c r="D467" s="309"/>
      <c r="E467" s="309"/>
      <c r="F467" s="605"/>
      <c r="G467" s="309"/>
      <c r="H467" s="661"/>
      <c r="I467" s="309"/>
    </row>
    <row r="468" spans="1:10" s="367" customFormat="1" ht="12.75" customHeight="1" x14ac:dyDescent="0.2">
      <c r="A468" s="309"/>
      <c r="B468" s="612"/>
      <c r="C468" s="608"/>
      <c r="D468" s="309"/>
      <c r="E468" s="309"/>
      <c r="F468" s="605"/>
      <c r="G468" s="309"/>
      <c r="H468" s="661"/>
      <c r="I468" s="646"/>
    </row>
    <row r="469" spans="1:10" s="367" customFormat="1" ht="12.75" customHeight="1" x14ac:dyDescent="0.2">
      <c r="A469" s="678"/>
      <c r="B469" s="612"/>
      <c r="C469" s="374"/>
      <c r="D469" s="678" t="s">
        <v>548</v>
      </c>
      <c r="E469" s="332">
        <f>Consolidated!I159</f>
        <v>17349100.219999999</v>
      </c>
      <c r="F469" s="605"/>
      <c r="G469" s="332">
        <f>E469+F469</f>
        <v>17349100.219999999</v>
      </c>
      <c r="H469" s="661"/>
      <c r="I469" s="642"/>
    </row>
    <row r="470" spans="1:10" s="367" customFormat="1" ht="12.75" customHeight="1" x14ac:dyDescent="0.2">
      <c r="A470" s="309"/>
      <c r="B470" s="309"/>
      <c r="C470" s="309"/>
      <c r="D470" s="679" t="s">
        <v>494</v>
      </c>
      <c r="E470" s="309"/>
      <c r="F470" s="635">
        <f>F453+F444+F434+F417+F407+F397+F388+F381+F372+F363+F356+F345+F335+F325+F316+F307+F299+F289+F280+F264+F272+F254+F244+F235+F225+F214+F206+F195+F187+F180+F172+F163+F153+F135+F126+F119++F102+F91+F81+F73+F62+F61+F54+F38+F13</f>
        <v>0</v>
      </c>
      <c r="G470" s="332">
        <f t="shared" ref="G470:G491" si="0">E470+F470</f>
        <v>0</v>
      </c>
      <c r="H470" s="661"/>
      <c r="I470" s="680"/>
    </row>
    <row r="471" spans="1:10" ht="12.75" hidden="1" customHeight="1" x14ac:dyDescent="0.2">
      <c r="D471" s="654" t="s">
        <v>495</v>
      </c>
      <c r="F471" s="635">
        <f t="shared" ref="F471:F489" si="1">SUM(SUMIF(D$12:D$461,D471,F$12:F$461))</f>
        <v>0</v>
      </c>
      <c r="G471" s="332">
        <f t="shared" si="0"/>
        <v>0</v>
      </c>
      <c r="H471" s="666"/>
    </row>
    <row r="472" spans="1:10" ht="12.75" hidden="1" customHeight="1" x14ac:dyDescent="0.2">
      <c r="D472" s="679" t="s">
        <v>520</v>
      </c>
      <c r="F472" s="635">
        <f t="shared" si="1"/>
        <v>0</v>
      </c>
      <c r="G472" s="332">
        <f t="shared" si="0"/>
        <v>0</v>
      </c>
    </row>
    <row r="473" spans="1:10" ht="12.75" hidden="1" customHeight="1" x14ac:dyDescent="0.2">
      <c r="D473" s="679" t="s">
        <v>531</v>
      </c>
      <c r="F473" s="635">
        <f t="shared" si="1"/>
        <v>0</v>
      </c>
      <c r="G473" s="332">
        <f t="shared" si="0"/>
        <v>0</v>
      </c>
    </row>
    <row r="474" spans="1:10" ht="12.75" hidden="1" customHeight="1" x14ac:dyDescent="0.2">
      <c r="D474" s="681" t="s">
        <v>515</v>
      </c>
      <c r="F474" s="635">
        <f t="shared" si="1"/>
        <v>0</v>
      </c>
      <c r="G474" s="332">
        <f t="shared" si="0"/>
        <v>0</v>
      </c>
    </row>
    <row r="475" spans="1:10" ht="12.75" hidden="1" customHeight="1" x14ac:dyDescent="0.2">
      <c r="D475" s="679" t="s">
        <v>496</v>
      </c>
      <c r="F475" s="635">
        <f t="shared" si="1"/>
        <v>0</v>
      </c>
      <c r="G475" s="332">
        <f t="shared" si="0"/>
        <v>0</v>
      </c>
    </row>
    <row r="476" spans="1:10" ht="12.75" hidden="1" customHeight="1" x14ac:dyDescent="0.2">
      <c r="D476" s="679" t="s">
        <v>522</v>
      </c>
      <c r="F476" s="635">
        <f t="shared" si="1"/>
        <v>0</v>
      </c>
      <c r="G476" s="332">
        <f t="shared" si="0"/>
        <v>0</v>
      </c>
    </row>
    <row r="477" spans="1:10" ht="12.75" hidden="1" customHeight="1" x14ac:dyDescent="0.2">
      <c r="D477" s="309" t="s">
        <v>498</v>
      </c>
      <c r="F477" s="635">
        <f t="shared" si="1"/>
        <v>0</v>
      </c>
      <c r="G477" s="332">
        <f t="shared" si="0"/>
        <v>0</v>
      </c>
    </row>
    <row r="478" spans="1:10" ht="12.75" hidden="1" customHeight="1" x14ac:dyDescent="0.2">
      <c r="A478" s="317"/>
      <c r="B478" s="649"/>
      <c r="C478" s="650"/>
      <c r="D478" s="679" t="s">
        <v>499</v>
      </c>
      <c r="E478" s="628"/>
      <c r="F478" s="635">
        <f t="shared" si="1"/>
        <v>0</v>
      </c>
      <c r="G478" s="332">
        <f t="shared" si="0"/>
        <v>0</v>
      </c>
    </row>
    <row r="479" spans="1:10" ht="12.75" hidden="1" customHeight="1" x14ac:dyDescent="0.2">
      <c r="D479" s="682" t="s">
        <v>549</v>
      </c>
      <c r="F479" s="635">
        <f t="shared" si="1"/>
        <v>0</v>
      </c>
      <c r="G479" s="332">
        <f t="shared" si="0"/>
        <v>0</v>
      </c>
      <c r="J479" s="332"/>
    </row>
    <row r="480" spans="1:10" ht="12.75" customHeight="1" x14ac:dyDescent="0.2">
      <c r="D480" s="682" t="s">
        <v>500</v>
      </c>
      <c r="F480" s="635">
        <f t="shared" si="1"/>
        <v>0</v>
      </c>
      <c r="G480" s="332">
        <f t="shared" si="0"/>
        <v>0</v>
      </c>
      <c r="J480" s="332"/>
    </row>
    <row r="481" spans="1:10" ht="12.75" customHeight="1" x14ac:dyDescent="0.2">
      <c r="D481" s="309" t="s">
        <v>501</v>
      </c>
      <c r="F481" s="635">
        <f t="shared" si="1"/>
        <v>0</v>
      </c>
      <c r="G481" s="332">
        <f t="shared" si="0"/>
        <v>0</v>
      </c>
      <c r="J481" s="332"/>
    </row>
    <row r="482" spans="1:10" ht="12.75" customHeight="1" x14ac:dyDescent="0.2">
      <c r="D482" s="309" t="s">
        <v>502</v>
      </c>
      <c r="F482" s="635">
        <f t="shared" si="1"/>
        <v>-421.76</v>
      </c>
      <c r="G482" s="332">
        <f t="shared" si="0"/>
        <v>-421.76</v>
      </c>
      <c r="J482" s="332"/>
    </row>
    <row r="483" spans="1:10" ht="12.75" customHeight="1" x14ac:dyDescent="0.2">
      <c r="D483" s="374" t="s">
        <v>503</v>
      </c>
      <c r="F483" s="635">
        <f t="shared" si="1"/>
        <v>-188.96</v>
      </c>
      <c r="G483" s="332">
        <f t="shared" si="0"/>
        <v>-188.96</v>
      </c>
    </row>
    <row r="484" spans="1:10" ht="12.75" customHeight="1" x14ac:dyDescent="0.2">
      <c r="D484" s="309" t="s">
        <v>504</v>
      </c>
      <c r="F484" s="635">
        <f t="shared" si="1"/>
        <v>-180</v>
      </c>
      <c r="G484" s="332">
        <f>E484+F484</f>
        <v>-180</v>
      </c>
      <c r="J484" s="332"/>
    </row>
    <row r="485" spans="1:10" ht="12.75" customHeight="1" x14ac:dyDescent="0.2">
      <c r="D485" s="374" t="s">
        <v>527</v>
      </c>
      <c r="F485" s="635">
        <f t="shared" si="1"/>
        <v>0</v>
      </c>
      <c r="G485" s="332">
        <f>E485+F485</f>
        <v>0</v>
      </c>
      <c r="J485" s="332"/>
    </row>
    <row r="486" spans="1:10" ht="12.75" hidden="1" customHeight="1" x14ac:dyDescent="0.2">
      <c r="A486" s="317"/>
      <c r="B486" s="649"/>
      <c r="C486" s="650"/>
      <c r="D486" s="679" t="s">
        <v>523</v>
      </c>
      <c r="E486" s="628"/>
      <c r="F486" s="635">
        <f t="shared" si="1"/>
        <v>0</v>
      </c>
      <c r="G486" s="332">
        <f t="shared" si="0"/>
        <v>0</v>
      </c>
    </row>
    <row r="487" spans="1:10" ht="12.75" hidden="1" customHeight="1" x14ac:dyDescent="0.2">
      <c r="D487" s="374" t="s">
        <v>528</v>
      </c>
      <c r="F487" s="635">
        <f t="shared" si="1"/>
        <v>0</v>
      </c>
      <c r="G487" s="332">
        <f t="shared" si="0"/>
        <v>0</v>
      </c>
    </row>
    <row r="488" spans="1:10" ht="12.75" hidden="1" customHeight="1" x14ac:dyDescent="0.2">
      <c r="D488" s="374" t="s">
        <v>506</v>
      </c>
      <c r="F488" s="635">
        <f t="shared" si="1"/>
        <v>0</v>
      </c>
      <c r="G488" s="332">
        <f t="shared" si="0"/>
        <v>0</v>
      </c>
    </row>
    <row r="489" spans="1:10" s="367" customFormat="1" ht="12.75" hidden="1" customHeight="1" x14ac:dyDescent="0.2">
      <c r="A489" s="309"/>
      <c r="B489" s="309"/>
      <c r="C489" s="309"/>
      <c r="D489" s="374" t="s">
        <v>507</v>
      </c>
      <c r="E489" s="309"/>
      <c r="F489" s="635">
        <f t="shared" si="1"/>
        <v>0</v>
      </c>
      <c r="G489" s="332">
        <f t="shared" si="0"/>
        <v>0</v>
      </c>
      <c r="H489" s="661"/>
      <c r="I489" s="646"/>
    </row>
    <row r="490" spans="1:10" ht="12.75" customHeight="1" x14ac:dyDescent="0.2">
      <c r="D490" s="679" t="s">
        <v>550</v>
      </c>
      <c r="F490" s="683">
        <f>SUM(SUMIF(D$12:D$461,"*WPB*",F$12:F$461))</f>
        <v>0</v>
      </c>
      <c r="G490" s="332">
        <f t="shared" si="0"/>
        <v>0</v>
      </c>
    </row>
    <row r="491" spans="1:10" ht="12.75" hidden="1" customHeight="1" x14ac:dyDescent="0.2">
      <c r="D491" s="679" t="s">
        <v>516</v>
      </c>
      <c r="F491" s="683">
        <f>SUM(SUMIF(D$12:D$461,"*FEFP ADJ*",F$12:F$461))</f>
        <v>0</v>
      </c>
      <c r="G491" s="332">
        <f t="shared" si="0"/>
        <v>0</v>
      </c>
    </row>
    <row r="492" spans="1:10" ht="12.75" customHeight="1" x14ac:dyDescent="0.2">
      <c r="D492" s="679"/>
      <c r="F492" s="683"/>
      <c r="G492" s="332"/>
    </row>
    <row r="493" spans="1:10" ht="12.75" customHeight="1" thickBot="1" x14ac:dyDescent="0.25">
      <c r="D493" s="684" t="s">
        <v>551</v>
      </c>
      <c r="E493" s="677">
        <f>SUM(E469:E491)</f>
        <v>17349100.219999999</v>
      </c>
      <c r="F493" s="677">
        <f>SUM(F469:F491)</f>
        <v>-790.72</v>
      </c>
      <c r="G493" s="677">
        <f>SUM(G469:G492)</f>
        <v>17348309.499999996</v>
      </c>
    </row>
    <row r="494" spans="1:10" ht="12.75" customHeight="1" thickTop="1" x14ac:dyDescent="0.2">
      <c r="D494" s="684"/>
      <c r="E494" s="332"/>
      <c r="F494" s="332"/>
      <c r="G494" s="332"/>
    </row>
    <row r="495" spans="1:10" ht="12.75" customHeight="1" x14ac:dyDescent="0.2">
      <c r="D495" s="684"/>
      <c r="E495" s="332"/>
      <c r="F495" s="332">
        <f>F493-F462</f>
        <v>0</v>
      </c>
      <c r="G495" s="332">
        <f>G462-G493</f>
        <v>0</v>
      </c>
    </row>
    <row r="496" spans="1:10" ht="12" customHeight="1" x14ac:dyDescent="0.2">
      <c r="D496" s="684"/>
      <c r="E496" s="332"/>
      <c r="F496" s="332"/>
      <c r="G496" s="332"/>
    </row>
    <row r="497" spans="1:9" ht="12.75" customHeight="1" thickBot="1" x14ac:dyDescent="0.25">
      <c r="E497" s="332"/>
      <c r="F497" s="332"/>
      <c r="G497" s="332"/>
    </row>
    <row r="498" spans="1:9" ht="12.75" customHeight="1" thickBot="1" x14ac:dyDescent="0.25">
      <c r="C498" s="746" t="s">
        <v>492</v>
      </c>
      <c r="D498" s="747"/>
      <c r="E498" s="747"/>
      <c r="F498" s="747"/>
      <c r="G498" s="748"/>
    </row>
    <row r="499" spans="1:9" s="367" customFormat="1" ht="12.75" customHeight="1" x14ac:dyDescent="0.2">
      <c r="A499" s="309"/>
      <c r="B499" s="309"/>
      <c r="C499" s="685"/>
      <c r="D499" s="686"/>
      <c r="E499" s="686"/>
      <c r="F499" s="686"/>
      <c r="G499" s="687"/>
      <c r="H499" s="661"/>
      <c r="I499" s="309"/>
    </row>
    <row r="500" spans="1:9" ht="12.75" customHeight="1" x14ac:dyDescent="0.2">
      <c r="C500" s="688" t="s">
        <v>552</v>
      </c>
      <c r="D500" s="689"/>
      <c r="E500" s="689"/>
      <c r="F500" s="686"/>
      <c r="G500" s="690"/>
    </row>
    <row r="501" spans="1:9" ht="12.75" customHeight="1" x14ac:dyDescent="0.2">
      <c r="C501" s="691" t="s">
        <v>553</v>
      </c>
      <c r="D501" s="689"/>
      <c r="E501" s="689"/>
      <c r="F501" s="686"/>
      <c r="G501" s="690"/>
    </row>
    <row r="502" spans="1:9" ht="12.75" customHeight="1" x14ac:dyDescent="0.2">
      <c r="C502" s="691"/>
      <c r="D502" s="686"/>
      <c r="E502" s="686"/>
      <c r="F502" s="686"/>
      <c r="G502" s="690"/>
    </row>
    <row r="503" spans="1:9" ht="12.75" customHeight="1" x14ac:dyDescent="0.2">
      <c r="C503" s="692" t="s">
        <v>554</v>
      </c>
      <c r="D503" s="693"/>
      <c r="E503" s="693"/>
      <c r="F503" s="693"/>
      <c r="G503" s="694"/>
      <c r="H503" s="695"/>
      <c r="I503" s="367"/>
    </row>
    <row r="504" spans="1:9" ht="12.75" customHeight="1" x14ac:dyDescent="0.2">
      <c r="C504" s="696" t="s">
        <v>555</v>
      </c>
      <c r="D504" s="693"/>
      <c r="E504" s="693"/>
      <c r="F504" s="693"/>
      <c r="G504" s="694"/>
      <c r="H504" s="695"/>
      <c r="I504" s="367"/>
    </row>
    <row r="505" spans="1:9" ht="12.75" customHeight="1" x14ac:dyDescent="0.2">
      <c r="C505" s="697"/>
      <c r="D505" s="698"/>
      <c r="E505" s="698"/>
      <c r="F505" s="698"/>
      <c r="G505" s="699"/>
      <c r="H505" s="695"/>
      <c r="I505" s="367"/>
    </row>
    <row r="506" spans="1:9" ht="12.75" customHeight="1" x14ac:dyDescent="0.2">
      <c r="C506" s="688" t="s">
        <v>556</v>
      </c>
      <c r="D506" s="698"/>
      <c r="E506" s="698"/>
      <c r="F506" s="698"/>
      <c r="G506" s="699"/>
      <c r="H506" s="695"/>
      <c r="I506" s="367"/>
    </row>
    <row r="507" spans="1:9" ht="12.75" customHeight="1" x14ac:dyDescent="0.2">
      <c r="C507" s="691" t="s">
        <v>557</v>
      </c>
      <c r="D507" s="698"/>
      <c r="E507" s="698"/>
      <c r="F507" s="698"/>
      <c r="G507" s="699"/>
      <c r="H507" s="695"/>
      <c r="I507" s="367"/>
    </row>
    <row r="508" spans="1:9" ht="12.75" customHeight="1" x14ac:dyDescent="0.2">
      <c r="C508" s="697"/>
      <c r="D508" s="698"/>
      <c r="E508" s="698"/>
      <c r="F508" s="698"/>
      <c r="G508" s="699"/>
      <c r="H508" s="695"/>
      <c r="I508" s="367"/>
    </row>
    <row r="509" spans="1:9" ht="12.75" customHeight="1" x14ac:dyDescent="0.2">
      <c r="C509" s="749"/>
      <c r="D509" s="750"/>
      <c r="E509" s="750"/>
      <c r="F509" s="750"/>
      <c r="G509" s="751"/>
      <c r="H509" s="695"/>
      <c r="I509" s="367"/>
    </row>
    <row r="510" spans="1:9" ht="12.75" customHeight="1" x14ac:dyDescent="0.2">
      <c r="C510" s="749"/>
      <c r="D510" s="750"/>
      <c r="E510" s="750"/>
      <c r="F510" s="750"/>
      <c r="G510" s="751"/>
      <c r="H510" s="695"/>
      <c r="I510" s="367"/>
    </row>
    <row r="511" spans="1:9" ht="12.75" customHeight="1" x14ac:dyDescent="0.2">
      <c r="C511" s="749"/>
      <c r="D511" s="750"/>
      <c r="E511" s="750"/>
      <c r="F511" s="750"/>
      <c r="G511" s="751"/>
      <c r="H511" s="695"/>
      <c r="I511" s="367"/>
    </row>
    <row r="512" spans="1:9" ht="26.45" customHeight="1" x14ac:dyDescent="0.2">
      <c r="C512" s="749"/>
      <c r="D512" s="750"/>
      <c r="E512" s="750"/>
      <c r="F512" s="750"/>
      <c r="G512" s="751"/>
      <c r="H512" s="695"/>
      <c r="I512" s="367"/>
    </row>
    <row r="513" spans="3:11" ht="12.75" customHeight="1" x14ac:dyDescent="0.2">
      <c r="C513" s="697"/>
      <c r="D513" s="698"/>
      <c r="E513" s="698"/>
      <c r="F513" s="698"/>
      <c r="G513" s="699"/>
      <c r="H513" s="695"/>
      <c r="I513" s="367"/>
    </row>
    <row r="514" spans="3:11" ht="12.75" customHeight="1" thickBot="1" x14ac:dyDescent="0.25">
      <c r="C514" s="700"/>
      <c r="D514" s="701"/>
      <c r="E514" s="701"/>
      <c r="F514" s="701"/>
      <c r="G514" s="702"/>
      <c r="H514" s="695"/>
      <c r="I514" s="367"/>
    </row>
    <row r="515" spans="3:11" ht="12.75" customHeight="1" x14ac:dyDescent="0.2">
      <c r="H515" s="695"/>
      <c r="I515" s="367"/>
    </row>
    <row r="516" spans="3:11" ht="12.75" customHeight="1" x14ac:dyDescent="0.2">
      <c r="H516" s="695"/>
      <c r="I516" s="367"/>
    </row>
    <row r="517" spans="3:11" ht="12.75" customHeight="1" x14ac:dyDescent="0.2">
      <c r="H517" s="695"/>
      <c r="I517" s="367"/>
    </row>
    <row r="518" spans="3:11" ht="12.75" customHeight="1" x14ac:dyDescent="0.2">
      <c r="H518" s="695"/>
      <c r="I518" s="367"/>
    </row>
    <row r="519" spans="3:11" ht="12.75" customHeight="1" x14ac:dyDescent="0.2">
      <c r="H519" s="695"/>
      <c r="I519" s="367"/>
    </row>
    <row r="520" spans="3:11" ht="12.75" customHeight="1" x14ac:dyDescent="0.2">
      <c r="H520" s="695"/>
      <c r="I520" s="367"/>
    </row>
    <row r="521" spans="3:11" ht="12.75" customHeight="1" x14ac:dyDescent="0.2">
      <c r="H521" s="695"/>
      <c r="I521" s="367"/>
    </row>
    <row r="522" spans="3:11" ht="12.75" customHeight="1" x14ac:dyDescent="0.2">
      <c r="H522" s="695"/>
      <c r="I522" s="367"/>
    </row>
    <row r="523" spans="3:11" ht="12.75" customHeight="1" x14ac:dyDescent="0.2">
      <c r="H523" s="695"/>
      <c r="I523" s="367"/>
    </row>
    <row r="524" spans="3:11" ht="12.75" customHeight="1" x14ac:dyDescent="0.2">
      <c r="H524" s="365"/>
    </row>
    <row r="525" spans="3:11" ht="12.75" customHeight="1" x14ac:dyDescent="0.2">
      <c r="E525" s="313"/>
      <c r="F525" s="309"/>
    </row>
    <row r="526" spans="3:11" ht="12.75" customHeight="1" x14ac:dyDescent="0.2">
      <c r="E526" s="313"/>
      <c r="F526" s="309"/>
    </row>
    <row r="528" spans="3:11" ht="12.75" customHeight="1" x14ac:dyDescent="0.2">
      <c r="K528" s="313"/>
    </row>
    <row r="529" spans="8:11" ht="12.75" customHeight="1" x14ac:dyDescent="0.2">
      <c r="K529" s="313"/>
    </row>
    <row r="535" spans="8:11" ht="12.75" customHeight="1" x14ac:dyDescent="0.2">
      <c r="H535" s="309"/>
    </row>
    <row r="536" spans="8:11" ht="12.75" customHeight="1" x14ac:dyDescent="0.2">
      <c r="H536" s="309"/>
    </row>
  </sheetData>
  <mergeCells count="3">
    <mergeCell ref="F3:G3"/>
    <mergeCell ref="C498:G498"/>
    <mergeCell ref="C509:G512"/>
  </mergeCells>
  <conditionalFormatting sqref="A12:A461">
    <cfRule type="cellIs" dxfId="17" priority="1" operator="equal">
      <formula>0</formula>
    </cfRule>
  </conditionalFormatting>
  <conditionalFormatting sqref="A478">
    <cfRule type="cellIs" dxfId="16" priority="2" operator="equal">
      <formula>0</formula>
    </cfRule>
  </conditionalFormatting>
  <conditionalFormatting sqref="A486">
    <cfRule type="cellIs" dxfId="15" priority="7" operator="equal">
      <formula>0</formula>
    </cfRule>
  </conditionalFormatting>
  <conditionalFormatting sqref="H480:H488 H490:H498">
    <cfRule type="cellIs" dxfId="14" priority="5" stopIfTrue="1" operator="notEqual">
      <formula>0</formula>
    </cfRule>
    <cfRule type="cellIs" dxfId="13" priority="6" stopIfTrue="1" operator="equal">
      <formula>0</formula>
    </cfRule>
  </conditionalFormatting>
  <conditionalFormatting sqref="H500:H502">
    <cfRule type="cellIs" dxfId="12" priority="3" stopIfTrue="1" operator="notEqual">
      <formula>0</formula>
    </cfRule>
    <cfRule type="cellIs" dxfId="11" priority="4" stopIfTrue="1" operator="equal">
      <formula>0</formula>
    </cfRule>
  </conditionalFormatting>
  <pageMargins left="1" right="0.1" top="0.5" bottom="0.5" header="0" footer="0.1"/>
  <pageSetup fitToHeight="0" orientation="landscape" r:id="rId1"/>
  <headerFooter>
    <oddFooter>&amp;L&amp;8&amp;Z&amp;F&amp;R&amp;8&amp;P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0F3A-6B50-409A-8E80-6F5FF3795D01}">
  <dimension ref="A4:Z67"/>
  <sheetViews>
    <sheetView tabSelected="1" topLeftCell="A27" workbookViewId="0">
      <selection activeCell="M47" sqref="M47:M54"/>
    </sheetView>
  </sheetViews>
  <sheetFormatPr defaultColWidth="9.140625" defaultRowHeight="12.75" x14ac:dyDescent="0.2"/>
  <cols>
    <col min="1" max="1" width="4" style="309" bestFit="1" customWidth="1"/>
    <col min="2" max="2" width="6" style="309" customWidth="1"/>
    <col min="3" max="3" width="36.28515625" style="309" bestFit="1" customWidth="1"/>
    <col min="4" max="4" width="4" style="310" bestFit="1" customWidth="1"/>
    <col min="5" max="5" width="4.28515625" style="310" bestFit="1" customWidth="1"/>
    <col min="6" max="7" width="9.140625" style="309"/>
    <col min="8" max="8" width="2.7109375" style="309" customWidth="1"/>
    <col min="9" max="9" width="15.140625" style="309" bestFit="1" customWidth="1"/>
    <col min="10" max="11" width="14.5703125" style="309" bestFit="1" customWidth="1"/>
    <col min="12" max="12" width="15.140625" style="309" bestFit="1" customWidth="1"/>
    <col min="13" max="13" width="14.5703125" style="309" bestFit="1" customWidth="1"/>
    <col min="14" max="14" width="2.7109375" style="309" customWidth="1"/>
    <col min="15" max="15" width="10" style="309" bestFit="1" customWidth="1"/>
    <col min="16" max="16" width="2.7109375" style="309" customWidth="1"/>
    <col min="17" max="17" width="11" style="347" bestFit="1" customWidth="1"/>
    <col min="18" max="18" width="8.140625" style="347" bestFit="1" customWidth="1"/>
    <col min="19" max="19" width="11" style="347" bestFit="1" customWidth="1"/>
    <col min="20" max="20" width="2.7109375" style="309" customWidth="1"/>
    <col min="21" max="21" width="9.140625" style="309"/>
    <col min="22" max="22" width="11" style="309" bestFit="1" customWidth="1"/>
    <col min="23" max="23" width="10" style="309" bestFit="1" customWidth="1"/>
    <col min="24" max="16384" width="9.140625" style="309"/>
  </cols>
  <sheetData>
    <row r="4" spans="1:23" x14ac:dyDescent="0.2">
      <c r="D4" s="314"/>
      <c r="E4" s="315">
        <v>0.75</v>
      </c>
      <c r="F4" s="314" t="s">
        <v>192</v>
      </c>
      <c r="G4" s="314" t="s">
        <v>193</v>
      </c>
      <c r="H4" s="316"/>
      <c r="I4" s="742" t="s">
        <v>194</v>
      </c>
      <c r="J4" s="743"/>
      <c r="K4" s="743"/>
      <c r="L4" s="744"/>
      <c r="M4" s="314" t="s">
        <v>195</v>
      </c>
      <c r="N4" s="317"/>
      <c r="Q4" s="752" t="s">
        <v>196</v>
      </c>
      <c r="R4" s="752"/>
      <c r="S4" s="752"/>
      <c r="U4" s="753" t="s">
        <v>197</v>
      </c>
      <c r="V4" s="753"/>
      <c r="W4" s="753"/>
    </row>
    <row r="5" spans="1:23" x14ac:dyDescent="0.2">
      <c r="A5" s="309" t="s">
        <v>52</v>
      </c>
      <c r="B5" s="309" t="s">
        <v>52</v>
      </c>
      <c r="C5" s="309" t="s">
        <v>52</v>
      </c>
      <c r="D5" s="318" t="s">
        <v>198</v>
      </c>
      <c r="E5" s="318" t="s">
        <v>199</v>
      </c>
      <c r="F5" s="318" t="s">
        <v>193</v>
      </c>
      <c r="G5" s="319" t="s">
        <v>200</v>
      </c>
      <c r="H5" s="316" t="s">
        <v>52</v>
      </c>
      <c r="I5" s="320" t="s">
        <v>201</v>
      </c>
      <c r="J5" s="320" t="s">
        <v>202</v>
      </c>
      <c r="K5" s="320" t="s">
        <v>203</v>
      </c>
      <c r="L5" s="321" t="s">
        <v>204</v>
      </c>
      <c r="M5" s="322" t="s">
        <v>205</v>
      </c>
      <c r="N5" s="317" t="s">
        <v>52</v>
      </c>
      <c r="O5" s="320" t="s">
        <v>206</v>
      </c>
      <c r="P5" s="309" t="s">
        <v>52</v>
      </c>
      <c r="Q5" s="323" t="s">
        <v>207</v>
      </c>
      <c r="R5" s="323" t="s">
        <v>208</v>
      </c>
      <c r="S5" s="323" t="s">
        <v>209</v>
      </c>
      <c r="T5" s="309" t="s">
        <v>52</v>
      </c>
      <c r="U5" s="320" t="s">
        <v>198</v>
      </c>
      <c r="V5" s="320" t="s">
        <v>210</v>
      </c>
      <c r="W5" s="320" t="s">
        <v>211</v>
      </c>
    </row>
    <row r="6" spans="1:23" x14ac:dyDescent="0.2">
      <c r="A6" s="310">
        <v>1</v>
      </c>
      <c r="B6" s="324" t="s">
        <v>212</v>
      </c>
      <c r="C6" s="325" t="s">
        <v>213</v>
      </c>
      <c r="D6" s="326">
        <v>0</v>
      </c>
      <c r="E6" s="326"/>
      <c r="F6" s="327">
        <f>-K6/I6</f>
        <v>4.7639928128683243E-2</v>
      </c>
      <c r="G6" s="328">
        <f>-K6/J6</f>
        <v>5.0000003353836669E-2</v>
      </c>
      <c r="H6" s="329"/>
      <c r="I6" s="330">
        <f>'0040'!$J$107</f>
        <v>312937.08</v>
      </c>
      <c r="J6" s="330">
        <f>'0040'!$J$109</f>
        <v>298165.98000000004</v>
      </c>
      <c r="K6" s="330">
        <f>'0040'!$J$114</f>
        <v>-14908.3</v>
      </c>
      <c r="L6" s="330">
        <f>'0040'!$J$116</f>
        <v>298028.78000000003</v>
      </c>
      <c r="M6" s="331">
        <f>'0040'!$J$124</f>
        <v>24870.66</v>
      </c>
      <c r="N6" s="332"/>
      <c r="O6" s="330" cm="1">
        <f t="array" ref="O6:P6">'0040'!E28:F28</f>
        <v>36</v>
      </c>
      <c r="P6" s="309">
        <v>0</v>
      </c>
      <c r="Q6" s="331">
        <f>I6/O6</f>
        <v>8692.6966666666667</v>
      </c>
      <c r="R6" s="331">
        <f>K6/O6</f>
        <v>-414.11944444444441</v>
      </c>
      <c r="S6" s="331">
        <f>L6/O6</f>
        <v>8278.5772222222222</v>
      </c>
      <c r="U6" s="331">
        <f>IF(D6="H",S6,0)</f>
        <v>0</v>
      </c>
      <c r="V6" s="331">
        <f t="shared" ref="V6:V54" si="0">ROUND(IF(E6=1,S6,0),2)</f>
        <v>0</v>
      </c>
      <c r="W6" s="331">
        <f t="shared" ref="W6:W50" si="1">IF(AND(U6=0,V6=0),S6,)</f>
        <v>8278.5772222222222</v>
      </c>
    </row>
    <row r="7" spans="1:23" x14ac:dyDescent="0.2">
      <c r="A7" s="310">
        <v>2</v>
      </c>
      <c r="B7" s="333" t="s">
        <v>214</v>
      </c>
      <c r="C7" s="309" t="s">
        <v>215</v>
      </c>
      <c r="D7" s="326">
        <v>0</v>
      </c>
      <c r="E7" s="317"/>
      <c r="F7" s="327">
        <f>-K7/I7</f>
        <v>1.5590390355171842E-2</v>
      </c>
      <c r="G7" s="328">
        <f t="shared" ref="G7:G56" si="2">-K7/J7</f>
        <v>1.6425826952354748E-2</v>
      </c>
      <c r="H7" s="317"/>
      <c r="I7" s="330">
        <f>'0100'!$J$107</f>
        <v>271492.24000000005</v>
      </c>
      <c r="J7" s="330">
        <f>'0100'!$J$109</f>
        <v>257683.83000000005</v>
      </c>
      <c r="K7" s="330">
        <f>'0100'!$J$114</f>
        <v>-4232.67</v>
      </c>
      <c r="L7" s="330">
        <f>'0100'!$J$116</f>
        <v>267259.57000000007</v>
      </c>
      <c r="M7" s="331">
        <f>'0100'!$J$124</f>
        <v>22269.68</v>
      </c>
      <c r="N7" s="317"/>
      <c r="O7" s="588" cm="1">
        <f t="array" ref="O7:P7">'0100'!E28:F28</f>
        <v>11</v>
      </c>
      <c r="P7" s="309">
        <v>0</v>
      </c>
      <c r="Q7" s="331">
        <f>I7/O7</f>
        <v>24681.112727272732</v>
      </c>
      <c r="R7" s="331">
        <f t="shared" ref="R7:R50" si="3">K7/O7</f>
        <v>-384.78818181818184</v>
      </c>
      <c r="S7" s="331">
        <f>L7/O7</f>
        <v>24296.32454545455</v>
      </c>
      <c r="U7" s="331">
        <f>IF(D7="H",S7,0)</f>
        <v>0</v>
      </c>
      <c r="V7" s="331">
        <f t="shared" si="0"/>
        <v>0</v>
      </c>
      <c r="W7" s="331">
        <f t="shared" si="1"/>
        <v>24296.32454545455</v>
      </c>
    </row>
    <row r="8" spans="1:23" x14ac:dyDescent="0.2">
      <c r="A8" s="310">
        <v>3</v>
      </c>
      <c r="B8" s="334" t="s">
        <v>216</v>
      </c>
      <c r="C8" s="325" t="s">
        <v>217</v>
      </c>
      <c r="D8" s="326" t="str">
        <f>'[2]1461'!G$135</f>
        <v>H</v>
      </c>
      <c r="E8" s="326" t="str">
        <f>'[2]1461'!H$133</f>
        <v/>
      </c>
      <c r="F8" s="327">
        <f>-K8/I8</f>
        <v>6.8327611876501885E-3</v>
      </c>
      <c r="G8" s="328">
        <f t="shared" si="2"/>
        <v>7.1491897782287907E-3</v>
      </c>
      <c r="H8" s="329"/>
      <c r="I8" s="330">
        <f>'1461'!$J$107</f>
        <v>6327945.4400000004</v>
      </c>
      <c r="J8" s="330">
        <f>'1461'!$J$109</f>
        <v>6047865.75</v>
      </c>
      <c r="K8" s="330">
        <f>'1461'!$J$114</f>
        <v>-43237.34</v>
      </c>
      <c r="L8" s="330">
        <f>'1461'!$J$116</f>
        <v>6284708.1000000006</v>
      </c>
      <c r="M8" s="331">
        <f>'1461'!$J$124</f>
        <v>530655.23</v>
      </c>
      <c r="N8" s="332"/>
      <c r="O8" s="330" cm="1">
        <f t="array" ref="O8:P8">'1461'!E28:F28</f>
        <v>699.38</v>
      </c>
      <c r="P8" s="309">
        <v>0</v>
      </c>
      <c r="Q8" s="331">
        <f>I8/O8</f>
        <v>9047.935943264034</v>
      </c>
      <c r="R8" s="331">
        <f t="shared" si="3"/>
        <v>-61.822385541479591</v>
      </c>
      <c r="S8" s="331">
        <f t="shared" ref="S8:S50" si="4">L8/O8</f>
        <v>8986.1135577225559</v>
      </c>
      <c r="U8" s="331">
        <f>IF(D8="H",S8,0)</f>
        <v>8986.1135577225559</v>
      </c>
      <c r="V8" s="331">
        <f t="shared" si="0"/>
        <v>0</v>
      </c>
      <c r="W8" s="331">
        <f t="shared" si="1"/>
        <v>0</v>
      </c>
    </row>
    <row r="9" spans="1:23" x14ac:dyDescent="0.2">
      <c r="A9" s="310">
        <v>4</v>
      </c>
      <c r="B9" s="334" t="s">
        <v>218</v>
      </c>
      <c r="C9" s="325" t="s">
        <v>219</v>
      </c>
      <c r="D9" s="326" t="str">
        <f>'[2]1571'!G$135</f>
        <v>H</v>
      </c>
      <c r="E9" s="326" t="str">
        <f>'[2]1571'!H$133</f>
        <v/>
      </c>
      <c r="F9" s="327">
        <f t="shared" ref="F9:F51" si="5">-K9/I9</f>
        <v>4.2938000167605786E-3</v>
      </c>
      <c r="G9" s="328">
        <f t="shared" si="2"/>
        <v>4.4857535450710624E-3</v>
      </c>
      <c r="H9" s="329"/>
      <c r="I9" s="330">
        <f>'1571'!$J$107</f>
        <v>10411812.34</v>
      </c>
      <c r="J9" s="330">
        <f>'1571'!$J$109</f>
        <v>9966272.0099999998</v>
      </c>
      <c r="K9" s="330">
        <f>'1571'!$J$114</f>
        <v>-44706.239999999998</v>
      </c>
      <c r="L9" s="330">
        <f>'1571'!$J$116</f>
        <v>10367106.1</v>
      </c>
      <c r="M9" s="331">
        <f>'1571'!$J$124</f>
        <v>876352.53</v>
      </c>
      <c r="N9" s="332"/>
      <c r="O9" s="330" cm="1">
        <f t="array" ref="O9:P9">'1571'!E28:F28</f>
        <v>1114.6400000000001</v>
      </c>
      <c r="P9" s="309">
        <v>0</v>
      </c>
      <c r="Q9" s="331">
        <f t="shared" ref="Q9:Q50" si="6">I9/O9</f>
        <v>9340.9642036890818</v>
      </c>
      <c r="R9" s="331">
        <f t="shared" si="3"/>
        <v>-40.108232254360146</v>
      </c>
      <c r="S9" s="331">
        <f t="shared" si="4"/>
        <v>9300.855971434723</v>
      </c>
      <c r="U9" s="331">
        <f t="shared" ref="U9:U54" si="7">IF(D9="H",S9,0)</f>
        <v>9300.855971434723</v>
      </c>
      <c r="V9" s="331">
        <f t="shared" si="0"/>
        <v>0</v>
      </c>
      <c r="W9" s="331">
        <f t="shared" si="1"/>
        <v>0</v>
      </c>
    </row>
    <row r="10" spans="1:23" x14ac:dyDescent="0.2">
      <c r="A10" s="310">
        <v>5</v>
      </c>
      <c r="B10" s="334" t="s">
        <v>220</v>
      </c>
      <c r="C10" s="325" t="s">
        <v>221</v>
      </c>
      <c r="D10" s="326">
        <f>'[2]2521'!G$135</f>
        <v>0</v>
      </c>
      <c r="E10" s="326">
        <f>'[2]2521'!H$133</f>
        <v>1</v>
      </c>
      <c r="F10" s="327">
        <f t="shared" si="5"/>
        <v>2.1425931373549069E-2</v>
      </c>
      <c r="G10" s="328">
        <f t="shared" si="2"/>
        <v>2.224697826252918E-2</v>
      </c>
      <c r="H10" s="329"/>
      <c r="I10" s="330">
        <f>'2521'!$J$107</f>
        <v>1381302.3800000001</v>
      </c>
      <c r="J10" s="330">
        <f>'2521'!$J$109</f>
        <v>1330324.04</v>
      </c>
      <c r="K10" s="330">
        <f>'2521'!$J$114</f>
        <v>-29595.69</v>
      </c>
      <c r="L10" s="330">
        <f>'2521'!$J$116</f>
        <v>1351706.6900000002</v>
      </c>
      <c r="M10" s="331">
        <f>'2521'!$J$124</f>
        <v>112694.39999999999</v>
      </c>
      <c r="N10" s="332"/>
      <c r="O10" s="330" cm="1">
        <f t="array" ref="O10:P10">'2521'!E28:F28</f>
        <v>74.16</v>
      </c>
      <c r="P10" s="309">
        <v>0</v>
      </c>
      <c r="Q10" s="331">
        <f t="shared" si="6"/>
        <v>18625.975997842506</v>
      </c>
      <c r="R10" s="331">
        <f t="shared" si="3"/>
        <v>-399.07888349514565</v>
      </c>
      <c r="S10" s="331">
        <f t="shared" si="4"/>
        <v>18226.897114347361</v>
      </c>
      <c r="U10" s="331">
        <f t="shared" si="7"/>
        <v>0</v>
      </c>
      <c r="V10" s="331">
        <f t="shared" si="0"/>
        <v>18226.900000000001</v>
      </c>
      <c r="W10" s="331">
        <f t="shared" si="1"/>
        <v>0</v>
      </c>
    </row>
    <row r="11" spans="1:23" x14ac:dyDescent="0.2">
      <c r="A11" s="310">
        <v>6</v>
      </c>
      <c r="B11" s="334" t="s">
        <v>222</v>
      </c>
      <c r="C11" s="325" t="s">
        <v>223</v>
      </c>
      <c r="D11" s="326">
        <f>'[2]2531'!G$135</f>
        <v>0</v>
      </c>
      <c r="E11" s="326">
        <f>'[2]2531'!H$133</f>
        <v>1</v>
      </c>
      <c r="F11" s="327">
        <f t="shared" si="5"/>
        <v>1.2186498231937952E-2</v>
      </c>
      <c r="G11" s="328">
        <f t="shared" si="2"/>
        <v>1.2788368111939025E-2</v>
      </c>
      <c r="H11" s="329"/>
      <c r="I11" s="330">
        <f>'2531'!$J$107</f>
        <v>1603249.73</v>
      </c>
      <c r="J11" s="330">
        <f>'2531'!$J$109</f>
        <v>1527794.6199999999</v>
      </c>
      <c r="K11" s="330">
        <f>'2531'!$J$114</f>
        <v>-19538</v>
      </c>
      <c r="L11" s="330">
        <f>'2531'!$J$116</f>
        <v>1583711.73</v>
      </c>
      <c r="M11" s="331">
        <f>'2531'!$J$124</f>
        <v>132295.12</v>
      </c>
      <c r="N11" s="332"/>
      <c r="O11" s="330" cm="1">
        <f t="array" ref="O11:P11">'2531'!E28:F28</f>
        <v>49</v>
      </c>
      <c r="P11" s="309">
        <v>0</v>
      </c>
      <c r="Q11" s="331">
        <f t="shared" si="6"/>
        <v>32719.382244897959</v>
      </c>
      <c r="R11" s="331">
        <f t="shared" si="3"/>
        <v>-398.73469387755102</v>
      </c>
      <c r="S11" s="331">
        <f t="shared" si="4"/>
        <v>32320.647551020407</v>
      </c>
      <c r="U11" s="331">
        <f t="shared" si="7"/>
        <v>0</v>
      </c>
      <c r="V11" s="331">
        <f t="shared" si="0"/>
        <v>32320.65</v>
      </c>
      <c r="W11" s="331">
        <f t="shared" si="1"/>
        <v>0</v>
      </c>
    </row>
    <row r="12" spans="1:23" x14ac:dyDescent="0.2">
      <c r="A12" s="310">
        <v>7</v>
      </c>
      <c r="B12" s="324" t="s">
        <v>224</v>
      </c>
      <c r="C12" s="325" t="s">
        <v>225</v>
      </c>
      <c r="D12" s="326">
        <f>'[2]2791'!G$135</f>
        <v>0</v>
      </c>
      <c r="E12" s="326">
        <f>'[2]2791'!H$133</f>
        <v>1</v>
      </c>
      <c r="F12" s="327">
        <f t="shared" si="5"/>
        <v>1.1658701430833513E-2</v>
      </c>
      <c r="G12" s="328">
        <f t="shared" si="2"/>
        <v>1.228960279334506E-2</v>
      </c>
      <c r="H12" s="329"/>
      <c r="I12" s="330">
        <f>'2791'!$J$107</f>
        <v>5409536.4199999999</v>
      </c>
      <c r="J12" s="330">
        <f>'2791'!$J$109</f>
        <v>5131831.4399999995</v>
      </c>
      <c r="K12" s="330">
        <f>'2791'!$J$114</f>
        <v>-63068.17</v>
      </c>
      <c r="L12" s="330">
        <f>'2791'!$J$116</f>
        <v>5346468.25</v>
      </c>
      <c r="M12" s="331">
        <f>'2791'!$J$124</f>
        <v>446019.95</v>
      </c>
      <c r="N12" s="332"/>
      <c r="O12" s="330" cm="1">
        <f t="array" ref="O12:P12">'2791'!E28:F28</f>
        <v>164</v>
      </c>
      <c r="P12" s="309">
        <v>0</v>
      </c>
      <c r="Q12" s="331">
        <f t="shared" si="6"/>
        <v>32984.978170731709</v>
      </c>
      <c r="R12" s="331">
        <f t="shared" si="3"/>
        <v>-384.56201219512195</v>
      </c>
      <c r="S12" s="331">
        <f t="shared" si="4"/>
        <v>32600.416158536584</v>
      </c>
      <c r="U12" s="331">
        <f t="shared" si="7"/>
        <v>0</v>
      </c>
      <c r="V12" s="331">
        <f t="shared" si="0"/>
        <v>32600.42</v>
      </c>
      <c r="W12" s="331">
        <f t="shared" si="1"/>
        <v>0</v>
      </c>
    </row>
    <row r="13" spans="1:23" x14ac:dyDescent="0.2">
      <c r="A13" s="310">
        <v>8</v>
      </c>
      <c r="B13" s="334" t="s">
        <v>226</v>
      </c>
      <c r="C13" s="335" t="s">
        <v>227</v>
      </c>
      <c r="D13" s="326">
        <f>'[2]2801'!G$135</f>
        <v>0</v>
      </c>
      <c r="E13" s="326" t="str">
        <f>'[2]2801'!H$133</f>
        <v/>
      </c>
      <c r="F13" s="327">
        <f t="shared" si="5"/>
        <v>2.056541172046248E-2</v>
      </c>
      <c r="G13" s="328">
        <f t="shared" si="2"/>
        <v>2.1588946925714104E-2</v>
      </c>
      <c r="H13" s="329"/>
      <c r="I13" s="330">
        <f>'2801'!$J$107</f>
        <v>5365718.9800000004</v>
      </c>
      <c r="J13" s="330">
        <f>'2801'!$J$109</f>
        <v>5111329.4400000004</v>
      </c>
      <c r="K13" s="330">
        <f>'2801'!$J$114</f>
        <v>-110348.22</v>
      </c>
      <c r="L13" s="330">
        <f>'2801'!$J$116</f>
        <v>5255370.7600000007</v>
      </c>
      <c r="M13" s="331">
        <f>'2801'!$J$124</f>
        <v>438326.62</v>
      </c>
      <c r="N13" s="332"/>
      <c r="O13" s="330" cm="1">
        <f t="array" ref="O13:P13">'2801'!E28:F28</f>
        <v>579</v>
      </c>
      <c r="P13" s="309">
        <v>0</v>
      </c>
      <c r="Q13" s="331">
        <f t="shared" si="6"/>
        <v>9267.217582037998</v>
      </c>
      <c r="R13" s="331">
        <f t="shared" si="3"/>
        <v>-190.58414507772022</v>
      </c>
      <c r="S13" s="331">
        <f t="shared" si="4"/>
        <v>9076.6334369602773</v>
      </c>
      <c r="U13" s="331">
        <f t="shared" si="7"/>
        <v>0</v>
      </c>
      <c r="V13" s="331">
        <f t="shared" si="0"/>
        <v>0</v>
      </c>
      <c r="W13" s="331">
        <f t="shared" si="1"/>
        <v>9076.6334369602773</v>
      </c>
    </row>
    <row r="14" spans="1:23" x14ac:dyDescent="0.2">
      <c r="A14" s="310">
        <v>9</v>
      </c>
      <c r="B14" s="334" t="s">
        <v>228</v>
      </c>
      <c r="C14" s="325" t="s">
        <v>229</v>
      </c>
      <c r="D14" s="326" t="str">
        <f>'[2]2911'!G$135</f>
        <v>H</v>
      </c>
      <c r="E14" s="326" t="str">
        <f>'[2]2911'!H$133</f>
        <v/>
      </c>
      <c r="F14" s="327">
        <f t="shared" si="5"/>
        <v>6.7156204582005108E-3</v>
      </c>
      <c r="G14" s="328">
        <f t="shared" si="2"/>
        <v>7.0547740456110581E-3</v>
      </c>
      <c r="H14" s="329"/>
      <c r="I14" s="330">
        <f>'2911'!$J$107</f>
        <v>6194550.4900000002</v>
      </c>
      <c r="J14" s="330">
        <f>'2911'!$J$109</f>
        <v>5896751.5800000001</v>
      </c>
      <c r="K14" s="330">
        <f>'2911'!$J$114</f>
        <v>-41600.25</v>
      </c>
      <c r="L14" s="330">
        <f>'2911'!$J$116</f>
        <v>6152950.2400000002</v>
      </c>
      <c r="M14" s="331">
        <f>'2911'!$J$124</f>
        <v>513425.85</v>
      </c>
      <c r="N14" s="332"/>
      <c r="O14" s="330" cm="1">
        <f t="array" ref="O14:P14">'2911'!E28:F28</f>
        <v>708.74</v>
      </c>
      <c r="P14" s="309">
        <v>0</v>
      </c>
      <c r="Q14" s="331">
        <f t="shared" si="6"/>
        <v>8740.2298304032502</v>
      </c>
      <c r="R14" s="331">
        <f t="shared" si="3"/>
        <v>-58.696066258430456</v>
      </c>
      <c r="S14" s="331">
        <f t="shared" si="4"/>
        <v>8681.5337641448205</v>
      </c>
      <c r="U14" s="331">
        <f t="shared" si="7"/>
        <v>8681.5337641448205</v>
      </c>
      <c r="V14" s="331">
        <f t="shared" si="0"/>
        <v>0</v>
      </c>
      <c r="W14" s="331">
        <f t="shared" si="1"/>
        <v>0</v>
      </c>
    </row>
    <row r="15" spans="1:23" x14ac:dyDescent="0.2">
      <c r="A15" s="310">
        <v>10</v>
      </c>
      <c r="B15" s="334" t="s">
        <v>230</v>
      </c>
      <c r="C15" s="325" t="s">
        <v>231</v>
      </c>
      <c r="D15" s="326">
        <f>'[2]2941'!G$135</f>
        <v>0</v>
      </c>
      <c r="E15" s="326">
        <f>'[2]2941'!H$133</f>
        <v>1</v>
      </c>
      <c r="F15" s="327">
        <f t="shared" si="5"/>
        <v>9.1323391455913616E-3</v>
      </c>
      <c r="G15" s="328">
        <f t="shared" si="2"/>
        <v>9.5893262642214334E-3</v>
      </c>
      <c r="H15" s="329"/>
      <c r="I15" s="330">
        <f>'2941'!$J$107</f>
        <v>10519477.920000002</v>
      </c>
      <c r="J15" s="330">
        <f>'2941'!$J$109</f>
        <v>10018163.670000002</v>
      </c>
      <c r="K15" s="330">
        <f>'2941'!$J$114</f>
        <v>-96067.44</v>
      </c>
      <c r="L15" s="330">
        <f>'2941'!$J$116</f>
        <v>10423410.480000002</v>
      </c>
      <c r="M15" s="331">
        <f>'2941'!$J$124</f>
        <v>869504.11</v>
      </c>
      <c r="N15" s="332"/>
      <c r="O15" s="330" cm="1">
        <f t="array" ref="O15:P15">'2941'!E28:F28</f>
        <v>381</v>
      </c>
      <c r="P15" s="309">
        <v>0</v>
      </c>
      <c r="Q15" s="331">
        <f t="shared" si="6"/>
        <v>27610.178267716539</v>
      </c>
      <c r="R15" s="331">
        <f t="shared" si="3"/>
        <v>-252.14551181102362</v>
      </c>
      <c r="S15" s="331">
        <f t="shared" si="4"/>
        <v>27358.032755905519</v>
      </c>
      <c r="U15" s="331">
        <f t="shared" si="7"/>
        <v>0</v>
      </c>
      <c r="V15" s="331">
        <f t="shared" si="0"/>
        <v>27358.03</v>
      </c>
      <c r="W15" s="331">
        <f t="shared" si="1"/>
        <v>0</v>
      </c>
    </row>
    <row r="16" spans="1:23" x14ac:dyDescent="0.2">
      <c r="A16" s="310">
        <v>11</v>
      </c>
      <c r="B16" s="334" t="s">
        <v>232</v>
      </c>
      <c r="C16" s="335" t="s">
        <v>233</v>
      </c>
      <c r="D16" s="326">
        <f>'[2]3083'!G$135</f>
        <v>0</v>
      </c>
      <c r="E16" s="326">
        <f>'[2]3083'!H$133</f>
        <v>1</v>
      </c>
      <c r="F16" s="327">
        <f t="shared" si="5"/>
        <v>1.0278151159926533E-2</v>
      </c>
      <c r="G16" s="328">
        <f t="shared" si="2"/>
        <v>1.0831494227819391E-2</v>
      </c>
      <c r="H16" s="329"/>
      <c r="I16" s="330">
        <f>'3083'!$J$107</f>
        <v>6014332.6399999997</v>
      </c>
      <c r="J16" s="330">
        <f>'3083'!$J$109</f>
        <v>5707081.4699999997</v>
      </c>
      <c r="K16" s="330">
        <f>'3083'!$J$114</f>
        <v>-61816.22</v>
      </c>
      <c r="L16" s="330">
        <f>'3083'!$J$116</f>
        <v>5952516.4199999999</v>
      </c>
      <c r="M16" s="331">
        <f>'3083'!$J$124</f>
        <v>497059.68</v>
      </c>
      <c r="N16" s="332"/>
      <c r="O16" s="330" cm="1">
        <f t="array" ref="O16:P16">'3083'!E28:F28</f>
        <v>161</v>
      </c>
      <c r="P16" s="309">
        <v>0</v>
      </c>
      <c r="Q16" s="331">
        <f t="shared" si="6"/>
        <v>37356.103354037266</v>
      </c>
      <c r="R16" s="331">
        <f t="shared" si="3"/>
        <v>-383.95167701863357</v>
      </c>
      <c r="S16" s="331">
        <f t="shared" si="4"/>
        <v>36972.151677018635</v>
      </c>
      <c r="U16" s="331">
        <f t="shared" si="7"/>
        <v>0</v>
      </c>
      <c r="V16" s="331">
        <f t="shared" si="0"/>
        <v>36972.15</v>
      </c>
      <c r="W16" s="331">
        <f t="shared" si="1"/>
        <v>0</v>
      </c>
    </row>
    <row r="17" spans="1:26" x14ac:dyDescent="0.2">
      <c r="A17" s="310">
        <v>12</v>
      </c>
      <c r="B17" s="334" t="s">
        <v>234</v>
      </c>
      <c r="C17" s="335" t="s">
        <v>235</v>
      </c>
      <c r="D17" s="336">
        <f>'[2]3345'!G$135</f>
        <v>0</v>
      </c>
      <c r="E17" s="336">
        <f>'[2]3345'!H$133</f>
        <v>1</v>
      </c>
      <c r="F17" s="327">
        <f>-K17/I17</f>
        <v>2.80754908989575E-2</v>
      </c>
      <c r="G17" s="328">
        <f t="shared" si="2"/>
        <v>2.8899512052059862E-2</v>
      </c>
      <c r="H17" s="329"/>
      <c r="I17" s="330">
        <f>'3345'!$J$107</f>
        <v>1127073.08</v>
      </c>
      <c r="J17" s="330">
        <f>'3345'!$J$109</f>
        <v>1094936.48</v>
      </c>
      <c r="K17" s="330">
        <f>'3345'!$J$114</f>
        <v>-31643.13</v>
      </c>
      <c r="L17" s="330">
        <f>'3345'!$J$116</f>
        <v>1095429.9500000002</v>
      </c>
      <c r="M17" s="331">
        <f>'3345'!$J$124</f>
        <v>91364.55</v>
      </c>
      <c r="N17" s="332"/>
      <c r="O17" s="330" cm="1">
        <f t="array" ref="O17:P17">'3345'!E28:F28</f>
        <v>77</v>
      </c>
      <c r="P17" s="309">
        <v>0</v>
      </c>
      <c r="Q17" s="331">
        <f t="shared" si="6"/>
        <v>14637.312727272729</v>
      </c>
      <c r="R17" s="331">
        <f t="shared" si="3"/>
        <v>-410.94974025974028</v>
      </c>
      <c r="S17" s="331">
        <f t="shared" si="4"/>
        <v>14226.36298701299</v>
      </c>
      <c r="U17" s="331">
        <f t="shared" si="7"/>
        <v>0</v>
      </c>
      <c r="V17" s="331">
        <f t="shared" si="0"/>
        <v>14226.36</v>
      </c>
      <c r="W17" s="331">
        <f t="shared" si="1"/>
        <v>0</v>
      </c>
      <c r="Z17" s="313"/>
    </row>
    <row r="18" spans="1:26" x14ac:dyDescent="0.2">
      <c r="A18" s="310">
        <v>13</v>
      </c>
      <c r="B18" s="334" t="s">
        <v>236</v>
      </c>
      <c r="C18" s="325" t="s">
        <v>237</v>
      </c>
      <c r="D18" s="326" t="str">
        <f>'[2]3381'!G$135</f>
        <v>H</v>
      </c>
      <c r="E18" s="326" t="str">
        <f>'[2]3381'!H$133</f>
        <v/>
      </c>
      <c r="F18" s="327">
        <f t="shared" si="5"/>
        <v>4.5457595046675733E-3</v>
      </c>
      <c r="G18" s="328">
        <f t="shared" si="2"/>
        <v>4.7755490166319402E-3</v>
      </c>
      <c r="H18" s="329"/>
      <c r="I18" s="330">
        <f>'3381'!$J$107</f>
        <v>9184238.6199999992</v>
      </c>
      <c r="J18" s="330">
        <f>'3381'!$J$109</f>
        <v>8742312.1099999994</v>
      </c>
      <c r="K18" s="330">
        <f>'3381'!$J$114</f>
        <v>-41749.339999999997</v>
      </c>
      <c r="L18" s="330">
        <f>'3381'!$J$116</f>
        <v>9142489.2799999993</v>
      </c>
      <c r="M18" s="331">
        <f>'3381'!$J$124</f>
        <v>762872.3</v>
      </c>
      <c r="N18" s="332"/>
      <c r="O18" s="330" cm="1">
        <f t="array" ref="O18:P18">'3381'!E28:F28</f>
        <v>1047</v>
      </c>
      <c r="P18" s="309">
        <v>0</v>
      </c>
      <c r="Q18" s="331">
        <f t="shared" si="6"/>
        <v>8771.9566571155683</v>
      </c>
      <c r="R18" s="331">
        <f t="shared" si="3"/>
        <v>-39.87520534861509</v>
      </c>
      <c r="S18" s="331">
        <f t="shared" si="4"/>
        <v>8732.0814517669533</v>
      </c>
      <c r="U18" s="331">
        <f t="shared" si="7"/>
        <v>8732.0814517669533</v>
      </c>
      <c r="V18" s="331">
        <f t="shared" si="0"/>
        <v>0</v>
      </c>
      <c r="W18" s="331">
        <f t="shared" si="1"/>
        <v>0</v>
      </c>
      <c r="Z18" s="313"/>
    </row>
    <row r="19" spans="1:26" x14ac:dyDescent="0.2">
      <c r="A19" s="310">
        <v>14</v>
      </c>
      <c r="B19" s="334" t="s">
        <v>238</v>
      </c>
      <c r="C19" s="325" t="s">
        <v>239</v>
      </c>
      <c r="D19" s="326">
        <f>'[2]3382'!G$135</f>
        <v>0</v>
      </c>
      <c r="E19" s="326" t="str">
        <f>'[2]3382'!H$133</f>
        <v/>
      </c>
      <c r="F19" s="327">
        <f t="shared" si="5"/>
        <v>4.4043480475288853E-2</v>
      </c>
      <c r="G19" s="328">
        <f t="shared" si="2"/>
        <v>4.612546047833764E-2</v>
      </c>
      <c r="H19" s="329"/>
      <c r="I19" s="330">
        <f>'3382'!$J$107</f>
        <v>2538893.13</v>
      </c>
      <c r="J19" s="330">
        <f>'3382'!$J$109</f>
        <v>2424294.2799999998</v>
      </c>
      <c r="K19" s="330">
        <f>'3382'!$J$114</f>
        <v>-111821.69</v>
      </c>
      <c r="L19" s="330">
        <f>'3382'!$J$116</f>
        <v>2427071.44</v>
      </c>
      <c r="M19" s="331">
        <f>'3382'!$J$124</f>
        <v>202508.28</v>
      </c>
      <c r="N19" s="332"/>
      <c r="O19" s="330" cm="1">
        <f t="array" ref="O19:P19">'3382'!E28:F28</f>
        <v>271</v>
      </c>
      <c r="P19" s="309">
        <v>0</v>
      </c>
      <c r="Q19" s="331">
        <f t="shared" si="6"/>
        <v>9368.6093357933569</v>
      </c>
      <c r="R19" s="331">
        <f t="shared" si="3"/>
        <v>-412.62616236162364</v>
      </c>
      <c r="S19" s="331">
        <f t="shared" si="4"/>
        <v>8955.983173431734</v>
      </c>
      <c r="U19" s="331">
        <f t="shared" si="7"/>
        <v>0</v>
      </c>
      <c r="V19" s="331">
        <f t="shared" si="0"/>
        <v>0</v>
      </c>
      <c r="W19" s="331">
        <f t="shared" si="1"/>
        <v>8955.983173431734</v>
      </c>
    </row>
    <row r="20" spans="1:26" x14ac:dyDescent="0.2">
      <c r="A20" s="310">
        <v>15</v>
      </c>
      <c r="B20" s="334" t="s">
        <v>240</v>
      </c>
      <c r="C20" s="337" t="s">
        <v>241</v>
      </c>
      <c r="D20" s="326">
        <f>'[2]3391'!G$135</f>
        <v>0</v>
      </c>
      <c r="E20" s="326">
        <f>'[2]3391'!H$133</f>
        <v>1</v>
      </c>
      <c r="F20" s="327"/>
      <c r="G20" s="328"/>
      <c r="H20" s="329"/>
      <c r="I20" s="330"/>
      <c r="J20" s="330"/>
      <c r="K20" s="330"/>
      <c r="L20" s="330"/>
      <c r="M20" s="331"/>
      <c r="N20" s="332"/>
      <c r="O20" s="330"/>
      <c r="Q20" s="331"/>
      <c r="R20" s="331"/>
      <c r="S20" s="331"/>
      <c r="U20" s="331"/>
      <c r="V20" s="331"/>
      <c r="W20" s="331"/>
    </row>
    <row r="21" spans="1:26" x14ac:dyDescent="0.2">
      <c r="A21" s="310">
        <v>16</v>
      </c>
      <c r="B21" s="334" t="s">
        <v>242</v>
      </c>
      <c r="C21" s="325" t="s">
        <v>243</v>
      </c>
      <c r="D21" s="326">
        <f>'[2]3394'!G$135</f>
        <v>0</v>
      </c>
      <c r="E21" s="326" t="str">
        <f>'[2]3394'!H$133</f>
        <v/>
      </c>
      <c r="F21" s="327">
        <f t="shared" si="5"/>
        <v>4.7549064034930082E-2</v>
      </c>
      <c r="G21" s="328">
        <f t="shared" si="2"/>
        <v>5.0000003029335292E-2</v>
      </c>
      <c r="H21" s="329"/>
      <c r="I21" s="330">
        <f>'3394'!$J$107</f>
        <v>1735604.3</v>
      </c>
      <c r="J21" s="330">
        <f>'3394'!$J$109</f>
        <v>1650527.1</v>
      </c>
      <c r="K21" s="330">
        <f>'3394'!$J$114</f>
        <v>-82526.36</v>
      </c>
      <c r="L21" s="330">
        <f>'3394'!$J$116</f>
        <v>1653077.94</v>
      </c>
      <c r="M21" s="331">
        <f>'3394'!$J$124</f>
        <v>137857.37</v>
      </c>
      <c r="N21" s="332"/>
      <c r="O21" s="330" cm="1">
        <f t="array" ref="O21:P21">'3394'!E28:F28</f>
        <v>192</v>
      </c>
      <c r="P21" s="309">
        <v>0</v>
      </c>
      <c r="Q21" s="331">
        <f t="shared" si="6"/>
        <v>9039.6057291666675</v>
      </c>
      <c r="R21" s="331">
        <f t="shared" si="3"/>
        <v>-429.82479166666667</v>
      </c>
      <c r="S21" s="331">
        <f t="shared" si="4"/>
        <v>8609.7809374999997</v>
      </c>
      <c r="U21" s="331">
        <f t="shared" si="7"/>
        <v>0</v>
      </c>
      <c r="V21" s="331">
        <f t="shared" si="0"/>
        <v>0</v>
      </c>
      <c r="W21" s="331">
        <f t="shared" si="1"/>
        <v>8609.7809374999997</v>
      </c>
    </row>
    <row r="22" spans="1:26" x14ac:dyDescent="0.2">
      <c r="A22" s="310">
        <v>17</v>
      </c>
      <c r="B22" s="334" t="s">
        <v>244</v>
      </c>
      <c r="C22" s="335" t="s">
        <v>245</v>
      </c>
      <c r="D22" s="336">
        <f>'[2]3395'!G$135</f>
        <v>0</v>
      </c>
      <c r="E22" s="336" t="str">
        <f>'[2]3395'!H$133</f>
        <v/>
      </c>
      <c r="F22" s="327">
        <f t="shared" si="5"/>
        <v>2.3084301806012952E-2</v>
      </c>
      <c r="G22" s="328">
        <f t="shared" si="2"/>
        <v>2.4270902547257153E-2</v>
      </c>
      <c r="H22" s="329"/>
      <c r="I22" s="330">
        <f>'3395'!$J$107</f>
        <v>4522313.08</v>
      </c>
      <c r="J22" s="330">
        <f>'3395'!$J$109</f>
        <v>4301217.88</v>
      </c>
      <c r="K22" s="330">
        <f>'3395'!$J$114</f>
        <v>-104394.44</v>
      </c>
      <c r="L22" s="330">
        <f>'3395'!$J$116</f>
        <v>4417918.6399999997</v>
      </c>
      <c r="M22" s="331">
        <f>'3395'!$J$124</f>
        <v>368541.43</v>
      </c>
      <c r="N22" s="332"/>
      <c r="O22" s="330" cm="1">
        <f t="array" ref="O22:P22">'3395'!E28:F28</f>
        <v>515.02</v>
      </c>
      <c r="P22" s="309">
        <v>0</v>
      </c>
      <c r="Q22" s="331">
        <f t="shared" si="6"/>
        <v>8780.8494427400874</v>
      </c>
      <c r="R22" s="331">
        <f t="shared" si="3"/>
        <v>-202.69977864937286</v>
      </c>
      <c r="S22" s="331">
        <f t="shared" si="4"/>
        <v>8578.1496640907153</v>
      </c>
      <c r="U22" s="331">
        <f t="shared" si="7"/>
        <v>0</v>
      </c>
      <c r="V22" s="331">
        <f t="shared" si="0"/>
        <v>0</v>
      </c>
      <c r="W22" s="331">
        <f t="shared" si="1"/>
        <v>8578.1496640907153</v>
      </c>
    </row>
    <row r="23" spans="1:26" x14ac:dyDescent="0.2">
      <c r="A23" s="310">
        <v>18</v>
      </c>
      <c r="B23" s="334" t="s">
        <v>246</v>
      </c>
      <c r="C23" s="335" t="s">
        <v>247</v>
      </c>
      <c r="D23" s="336" t="str">
        <f>'[2]3396'!G$135</f>
        <v>H</v>
      </c>
      <c r="E23" s="336" t="str">
        <f>'[2]3396'!H$133</f>
        <v/>
      </c>
      <c r="F23" s="327">
        <f t="shared" si="5"/>
        <v>6.7598708019751463E-3</v>
      </c>
      <c r="G23" s="328">
        <f t="shared" si="2"/>
        <v>7.0733362623026427E-3</v>
      </c>
      <c r="H23" s="329"/>
      <c r="I23" s="330">
        <f>'3396'!$J$107</f>
        <v>6347744.0999999996</v>
      </c>
      <c r="J23" s="330">
        <f>'3396'!$J$109</f>
        <v>6066434.3399999999</v>
      </c>
      <c r="K23" s="330">
        <f>'3396'!$J$114</f>
        <v>-42909.93</v>
      </c>
      <c r="L23" s="330">
        <f>'3396'!$J$116</f>
        <v>6304834.1699999999</v>
      </c>
      <c r="M23" s="331">
        <f>'3396'!$J$124</f>
        <v>533385.66</v>
      </c>
      <c r="N23" s="332"/>
      <c r="O23" s="330" cm="1">
        <f t="array" ref="O23:P23">'3396'!E28:F28</f>
        <v>706.88</v>
      </c>
      <c r="P23" s="309">
        <v>0</v>
      </c>
      <c r="Q23" s="331">
        <f t="shared" si="6"/>
        <v>8979.9458182435483</v>
      </c>
      <c r="R23" s="331">
        <f t="shared" si="3"/>
        <v>-60.703273540063378</v>
      </c>
      <c r="S23" s="331">
        <f t="shared" si="4"/>
        <v>8919.2425447034857</v>
      </c>
      <c r="U23" s="331">
        <f t="shared" si="7"/>
        <v>8919.2425447034857</v>
      </c>
      <c r="V23" s="331">
        <f t="shared" si="0"/>
        <v>0</v>
      </c>
      <c r="W23" s="331">
        <f t="shared" si="1"/>
        <v>0</v>
      </c>
    </row>
    <row r="24" spans="1:26" x14ac:dyDescent="0.2">
      <c r="A24" s="310">
        <v>19</v>
      </c>
      <c r="B24" s="334" t="s">
        <v>248</v>
      </c>
      <c r="C24" s="325" t="s">
        <v>249</v>
      </c>
      <c r="D24" s="326">
        <f>'[2]3398'!G$135</f>
        <v>0</v>
      </c>
      <c r="E24" s="326" t="str">
        <f>'[2]3398'!H$133</f>
        <v/>
      </c>
      <c r="F24" s="327">
        <f t="shared" si="5"/>
        <v>4.7694081225499341E-2</v>
      </c>
      <c r="G24" s="328">
        <f t="shared" si="2"/>
        <v>4.9999995115551345E-2</v>
      </c>
      <c r="H24" s="329"/>
      <c r="I24" s="330">
        <f>'3398'!$J$107</f>
        <v>965833.89</v>
      </c>
      <c r="J24" s="330">
        <f>'3398'!$J$109</f>
        <v>921291.29</v>
      </c>
      <c r="K24" s="330">
        <f>'3398'!$J$114</f>
        <v>-46064.56</v>
      </c>
      <c r="L24" s="330">
        <f>'3398'!$J$116</f>
        <v>919769.33000000007</v>
      </c>
      <c r="M24" s="331">
        <f>'3398'!$J$124</f>
        <v>76763.56</v>
      </c>
      <c r="N24" s="332"/>
      <c r="O24" s="330" cm="1">
        <f t="array" ref="O24:P24">'3398'!E28:F28</f>
        <v>113.17999999999999</v>
      </c>
      <c r="P24" s="309">
        <v>0</v>
      </c>
      <c r="Q24" s="331">
        <f t="shared" si="6"/>
        <v>8533.6092065736011</v>
      </c>
      <c r="R24" s="331">
        <f t="shared" si="3"/>
        <v>-407.0026506449903</v>
      </c>
      <c r="S24" s="331">
        <f t="shared" si="4"/>
        <v>8126.6065559286108</v>
      </c>
      <c r="U24" s="331">
        <f t="shared" si="7"/>
        <v>0</v>
      </c>
      <c r="V24" s="331">
        <f t="shared" si="0"/>
        <v>0</v>
      </c>
      <c r="W24" s="331">
        <f t="shared" si="1"/>
        <v>8126.6065559286108</v>
      </c>
    </row>
    <row r="25" spans="1:26" x14ac:dyDescent="0.2">
      <c r="A25" s="310">
        <v>20</v>
      </c>
      <c r="B25" s="334" t="s">
        <v>250</v>
      </c>
      <c r="C25" s="325" t="s">
        <v>251</v>
      </c>
      <c r="D25" s="326">
        <f>'[2]3400'!G$135</f>
        <v>0</v>
      </c>
      <c r="E25" s="326">
        <f>'[2]3400'!H$133</f>
        <v>1</v>
      </c>
      <c r="F25" s="327">
        <f t="shared" si="5"/>
        <v>3.2480877638009137E-2</v>
      </c>
      <c r="G25" s="328">
        <f t="shared" si="2"/>
        <v>3.355377363444103E-2</v>
      </c>
      <c r="H25" s="329"/>
      <c r="I25" s="330">
        <f>'3400'!$J$107</f>
        <v>1170601.9900000002</v>
      </c>
      <c r="J25" s="330">
        <f>'3400'!$J$109</f>
        <v>1133171.5000000002</v>
      </c>
      <c r="K25" s="330">
        <f>'3400'!$J$114</f>
        <v>-38022.18</v>
      </c>
      <c r="L25" s="330">
        <f>'3400'!$J$116</f>
        <v>1132579.8100000003</v>
      </c>
      <c r="M25" s="331">
        <f>'3400'!$J$124</f>
        <v>94458.1</v>
      </c>
      <c r="N25" s="332"/>
      <c r="O25" s="330" cm="1">
        <f t="array" ref="O25:P25">'3400'!E28:F28</f>
        <v>95.86</v>
      </c>
      <c r="P25" s="309">
        <v>0</v>
      </c>
      <c r="Q25" s="331">
        <f t="shared" si="6"/>
        <v>12211.57928228667</v>
      </c>
      <c r="R25" s="331">
        <f t="shared" si="3"/>
        <v>-396.64281243480076</v>
      </c>
      <c r="S25" s="331">
        <f t="shared" si="4"/>
        <v>11814.936469851871</v>
      </c>
      <c r="U25" s="331">
        <f t="shared" si="7"/>
        <v>0</v>
      </c>
      <c r="V25" s="331">
        <f t="shared" si="0"/>
        <v>11814.94</v>
      </c>
      <c r="W25" s="331">
        <f t="shared" si="1"/>
        <v>0</v>
      </c>
    </row>
    <row r="26" spans="1:26" x14ac:dyDescent="0.2">
      <c r="A26" s="310">
        <v>21</v>
      </c>
      <c r="B26" s="334" t="s">
        <v>252</v>
      </c>
      <c r="C26" s="325" t="s">
        <v>253</v>
      </c>
      <c r="D26" s="326">
        <f>'[2]3401'!G$135</f>
        <v>0</v>
      </c>
      <c r="E26" s="326">
        <f>'[2]3401'!H$133</f>
        <v>0</v>
      </c>
      <c r="F26" s="327">
        <f t="shared" si="5"/>
        <v>2.802182439798839E-2</v>
      </c>
      <c r="G26" s="328">
        <f t="shared" si="2"/>
        <v>2.9364781781946698E-2</v>
      </c>
      <c r="H26" s="329"/>
      <c r="I26" s="330">
        <f>'3401'!$J$107</f>
        <v>3670836.6500000008</v>
      </c>
      <c r="J26" s="330">
        <f>'3401'!$J$109</f>
        <v>3502956.0500000007</v>
      </c>
      <c r="K26" s="330">
        <f>'3401'!$J$114</f>
        <v>-102863.54</v>
      </c>
      <c r="L26" s="330">
        <f>'3401'!$J$116</f>
        <v>3567973.1100000008</v>
      </c>
      <c r="M26" s="331">
        <f>'3401'!$J$124</f>
        <v>298028.7</v>
      </c>
      <c r="N26" s="332"/>
      <c r="O26" s="330" cm="1">
        <f t="array" ref="O26:P26">'3401'!E28:F28</f>
        <v>425.67999999999995</v>
      </c>
      <c r="P26" s="309">
        <v>0</v>
      </c>
      <c r="Q26" s="331">
        <f t="shared" si="6"/>
        <v>8623.465161623757</v>
      </c>
      <c r="R26" s="331">
        <f t="shared" si="3"/>
        <v>-241.64522646119153</v>
      </c>
      <c r="S26" s="331">
        <f t="shared" si="4"/>
        <v>8381.8199351625663</v>
      </c>
      <c r="U26" s="331">
        <f t="shared" si="7"/>
        <v>0</v>
      </c>
      <c r="V26" s="331">
        <f t="shared" si="0"/>
        <v>0</v>
      </c>
      <c r="W26" s="331">
        <f t="shared" si="1"/>
        <v>8381.8199351625663</v>
      </c>
    </row>
    <row r="27" spans="1:26" x14ac:dyDescent="0.2">
      <c r="A27" s="310">
        <v>22</v>
      </c>
      <c r="B27" s="334" t="s">
        <v>254</v>
      </c>
      <c r="C27" s="325" t="s">
        <v>255</v>
      </c>
      <c r="D27" s="326" t="str">
        <f>'[2]3413'!G$135</f>
        <v>H</v>
      </c>
      <c r="E27" s="326" t="str">
        <f>'[2]3413'!H$133</f>
        <v/>
      </c>
      <c r="F27" s="327">
        <f t="shared" si="5"/>
        <v>1.2198362577988696E-2</v>
      </c>
      <c r="G27" s="328">
        <f t="shared" si="2"/>
        <v>1.2819854951097614E-2</v>
      </c>
      <c r="H27" s="329"/>
      <c r="I27" s="330">
        <f>'3413'!$J$107</f>
        <v>3477233.0900000003</v>
      </c>
      <c r="J27" s="330">
        <f>'3413'!$J$109</f>
        <v>3308660.68</v>
      </c>
      <c r="K27" s="330">
        <f>'3413'!$J$114</f>
        <v>-42416.55</v>
      </c>
      <c r="L27" s="330">
        <f>'3413'!$J$116</f>
        <v>3434816.5400000005</v>
      </c>
      <c r="M27" s="331">
        <f>'3413'!$J$124</f>
        <v>286550.08</v>
      </c>
      <c r="N27" s="332"/>
      <c r="O27" s="330" cm="1">
        <f t="array" ref="O27:P27">'3413'!E28:F28</f>
        <v>390.02000000000004</v>
      </c>
      <c r="P27" s="309">
        <v>0</v>
      </c>
      <c r="Q27" s="331">
        <f t="shared" si="6"/>
        <v>8915.5250756371461</v>
      </c>
      <c r="R27" s="331">
        <f t="shared" si="3"/>
        <v>-108.754807445772</v>
      </c>
      <c r="S27" s="331">
        <f t="shared" si="4"/>
        <v>8806.7702681913761</v>
      </c>
      <c r="U27" s="331">
        <f t="shared" si="7"/>
        <v>8806.7702681913761</v>
      </c>
      <c r="V27" s="331">
        <f t="shared" si="0"/>
        <v>0</v>
      </c>
      <c r="W27" s="331">
        <f t="shared" si="1"/>
        <v>0</v>
      </c>
    </row>
    <row r="28" spans="1:26" x14ac:dyDescent="0.2">
      <c r="A28" s="310">
        <v>23</v>
      </c>
      <c r="B28" s="334" t="s">
        <v>256</v>
      </c>
      <c r="C28" s="325" t="s">
        <v>257</v>
      </c>
      <c r="D28" s="326">
        <f>'[2]3421'!G$135</f>
        <v>0</v>
      </c>
      <c r="E28" s="326" t="str">
        <f>'[2]3421'!H$133</f>
        <v/>
      </c>
      <c r="F28" s="327">
        <f t="shared" si="5"/>
        <v>2.4848540250882067E-2</v>
      </c>
      <c r="G28" s="328">
        <f t="shared" si="2"/>
        <v>2.6086229839644169E-2</v>
      </c>
      <c r="H28" s="329"/>
      <c r="I28" s="330">
        <f>'3421'!$J$107</f>
        <v>3957492.0300000003</v>
      </c>
      <c r="J28" s="330">
        <f>'3421'!$J$109</f>
        <v>3769724.5100000002</v>
      </c>
      <c r="K28" s="330">
        <f>'3421'!$J$114</f>
        <v>-98337.9</v>
      </c>
      <c r="L28" s="330">
        <f>'3421'!$J$116</f>
        <v>3859154.1300000004</v>
      </c>
      <c r="M28" s="331">
        <f>'3421'!$J$124</f>
        <v>322019.77</v>
      </c>
      <c r="N28" s="332"/>
      <c r="O28" s="330" cm="1">
        <f t="array" ref="O28:P28">'3421'!E28:F28</f>
        <v>479.18</v>
      </c>
      <c r="P28" s="309">
        <v>0</v>
      </c>
      <c r="Q28" s="331">
        <f t="shared" si="6"/>
        <v>8258.8839893150798</v>
      </c>
      <c r="R28" s="331">
        <f t="shared" si="3"/>
        <v>-205.22121123586126</v>
      </c>
      <c r="S28" s="331">
        <f t="shared" si="4"/>
        <v>8053.6627780792196</v>
      </c>
      <c r="U28" s="331">
        <f t="shared" si="7"/>
        <v>0</v>
      </c>
      <c r="V28" s="331">
        <f t="shared" si="0"/>
        <v>0</v>
      </c>
      <c r="W28" s="331">
        <f t="shared" si="1"/>
        <v>8053.6627780792196</v>
      </c>
    </row>
    <row r="29" spans="1:26" x14ac:dyDescent="0.2">
      <c r="A29" s="310">
        <v>24</v>
      </c>
      <c r="B29" s="334" t="s">
        <v>258</v>
      </c>
      <c r="C29" s="325" t="s">
        <v>259</v>
      </c>
      <c r="D29" s="326" t="str">
        <f>'[2]3431'!G$135</f>
        <v>H</v>
      </c>
      <c r="E29" s="326" t="str">
        <f>'[2]3431'!H$133</f>
        <v/>
      </c>
      <c r="F29" s="327">
        <f t="shared" si="5"/>
        <v>4.692404061523275E-3</v>
      </c>
      <c r="G29" s="328">
        <f t="shared" si="2"/>
        <v>4.9315505781223163E-3</v>
      </c>
      <c r="H29" s="329"/>
      <c r="I29" s="330">
        <f>'3431'!$J$107</f>
        <v>8883510.339999998</v>
      </c>
      <c r="J29" s="330">
        <f>'3431'!$J$109</f>
        <v>8452720.7699999977</v>
      </c>
      <c r="K29" s="330">
        <f>'3431'!$J$114</f>
        <v>-41685.019999999997</v>
      </c>
      <c r="L29" s="330">
        <f>'3431'!$J$116</f>
        <v>8841825.3199999984</v>
      </c>
      <c r="M29" s="331">
        <f>'3431'!$J$124</f>
        <v>737684.93</v>
      </c>
      <c r="N29" s="332"/>
      <c r="O29" s="330" cm="1">
        <f t="array" ref="O29:P29">'3431'!E28:F28</f>
        <v>1013.88</v>
      </c>
      <c r="P29" s="309">
        <v>0</v>
      </c>
      <c r="Q29" s="331">
        <f t="shared" si="6"/>
        <v>8761.8952341499953</v>
      </c>
      <c r="R29" s="331">
        <f t="shared" si="3"/>
        <v>-41.114352783366861</v>
      </c>
      <c r="S29" s="331">
        <f t="shared" si="4"/>
        <v>8720.7808813666288</v>
      </c>
      <c r="U29" s="331">
        <f t="shared" si="7"/>
        <v>8720.7808813666288</v>
      </c>
      <c r="V29" s="331">
        <f t="shared" si="0"/>
        <v>0</v>
      </c>
      <c r="W29" s="331">
        <f t="shared" si="1"/>
        <v>0</v>
      </c>
    </row>
    <row r="30" spans="1:26" x14ac:dyDescent="0.2">
      <c r="A30" s="310">
        <v>25</v>
      </c>
      <c r="B30" s="334">
        <v>3441</v>
      </c>
      <c r="C30" s="335" t="s">
        <v>260</v>
      </c>
      <c r="D30" s="336">
        <f>'[2]3441'!G$135</f>
        <v>0</v>
      </c>
      <c r="E30" s="336" t="str">
        <f>'[2]3441'!H$133</f>
        <v/>
      </c>
      <c r="F30" s="327">
        <f t="shared" si="5"/>
        <v>2.2608827425238218E-2</v>
      </c>
      <c r="G30" s="328">
        <f t="shared" si="2"/>
        <v>2.3692190342927927E-2</v>
      </c>
      <c r="H30" s="329"/>
      <c r="I30" s="330">
        <f>'3441'!$J$107</f>
        <v>4651871.0600000015</v>
      </c>
      <c r="J30" s="330">
        <f>'3441'!$J$109</f>
        <v>4439156.8900000015</v>
      </c>
      <c r="K30" s="330">
        <f>'3441'!$J$114</f>
        <v>-105173.35</v>
      </c>
      <c r="L30" s="330">
        <f>'3441'!$J$116</f>
        <v>4546697.7100000018</v>
      </c>
      <c r="M30" s="331">
        <f>'3441'!$J$124</f>
        <v>380953.21</v>
      </c>
      <c r="N30" s="332"/>
      <c r="O30" s="330" cm="1">
        <f t="array" ref="O30:P30">'3441'!E28:F28</f>
        <v>527.6</v>
      </c>
      <c r="P30" s="309">
        <v>0</v>
      </c>
      <c r="Q30" s="331">
        <f t="shared" si="6"/>
        <v>8817.0414329037176</v>
      </c>
      <c r="R30" s="331">
        <f t="shared" si="3"/>
        <v>-199.34296815769522</v>
      </c>
      <c r="S30" s="331">
        <f t="shared" si="4"/>
        <v>8617.6984647460231</v>
      </c>
      <c r="U30" s="331">
        <f t="shared" si="7"/>
        <v>0</v>
      </c>
      <c r="V30" s="331">
        <f t="shared" si="0"/>
        <v>0</v>
      </c>
      <c r="W30" s="331">
        <f t="shared" si="1"/>
        <v>8617.6984647460231</v>
      </c>
    </row>
    <row r="31" spans="1:26" x14ac:dyDescent="0.2">
      <c r="A31" s="310">
        <v>26</v>
      </c>
      <c r="B31" s="334">
        <v>3924</v>
      </c>
      <c r="C31" s="335" t="s">
        <v>261</v>
      </c>
      <c r="D31" s="326">
        <f>'[2]3924'!G$135</f>
        <v>0</v>
      </c>
      <c r="E31" s="326" t="str">
        <f>'[2]3924'!H$133</f>
        <v/>
      </c>
      <c r="F31" s="327">
        <f t="shared" si="5"/>
        <v>2.7258720244394238E-2</v>
      </c>
      <c r="G31" s="328">
        <f t="shared" si="2"/>
        <v>2.8589727072001494E-2</v>
      </c>
      <c r="H31" s="329"/>
      <c r="I31" s="330">
        <f>'3924'!$J$107</f>
        <v>3809418.7500000005</v>
      </c>
      <c r="J31" s="330">
        <f>'3924'!$J$109</f>
        <v>3632069.6500000004</v>
      </c>
      <c r="K31" s="330">
        <f>'3924'!$J$114</f>
        <v>-103839.88</v>
      </c>
      <c r="L31" s="330">
        <f>'3924'!$J$116</f>
        <v>3705578.8700000006</v>
      </c>
      <c r="M31" s="331">
        <f>'3924'!$J$124</f>
        <v>309424.3</v>
      </c>
      <c r="N31" s="332"/>
      <c r="O31" s="330" cm="1">
        <f t="array" ref="O31:P31">'3924'!E28:F28</f>
        <v>437.21999999999997</v>
      </c>
      <c r="P31" s="309">
        <v>0</v>
      </c>
      <c r="Q31" s="331">
        <f t="shared" si="6"/>
        <v>8712.8190613421175</v>
      </c>
      <c r="R31" s="331">
        <f t="shared" si="3"/>
        <v>-237.5002973331504</v>
      </c>
      <c r="S31" s="331">
        <f t="shared" si="4"/>
        <v>8475.3187640089673</v>
      </c>
      <c r="U31" s="331">
        <f t="shared" si="7"/>
        <v>0</v>
      </c>
      <c r="V31" s="331">
        <f t="shared" si="0"/>
        <v>0</v>
      </c>
      <c r="W31" s="331">
        <f t="shared" si="1"/>
        <v>8475.3187640089673</v>
      </c>
    </row>
    <row r="32" spans="1:26" x14ac:dyDescent="0.2">
      <c r="A32" s="310">
        <v>27</v>
      </c>
      <c r="B32" s="334" t="s">
        <v>262</v>
      </c>
      <c r="C32" s="325" t="s">
        <v>263</v>
      </c>
      <c r="D32" s="326" t="str">
        <f>'[2]3941'!G$135</f>
        <v>H</v>
      </c>
      <c r="E32" s="326" t="str">
        <f>'[2]3941'!H$133</f>
        <v/>
      </c>
      <c r="F32" s="327">
        <f t="shared" si="5"/>
        <v>1.9033024756701451E-2</v>
      </c>
      <c r="G32" s="328">
        <f t="shared" si="2"/>
        <v>1.9999998469286739E-2</v>
      </c>
      <c r="H32" s="329"/>
      <c r="I32" s="330">
        <f>'3941'!$J$107</f>
        <v>2059441.9699999997</v>
      </c>
      <c r="J32" s="330">
        <f>'3941'!$J$109</f>
        <v>1959870.6499999997</v>
      </c>
      <c r="K32" s="330">
        <f>'3941'!$J$114</f>
        <v>-39197.410000000003</v>
      </c>
      <c r="L32" s="330">
        <f>'3941'!$J$116</f>
        <v>2020244.5599999998</v>
      </c>
      <c r="M32" s="331">
        <f>'3941'!$J$124</f>
        <v>168521.9</v>
      </c>
      <c r="N32" s="332"/>
      <c r="O32" s="330" cm="1">
        <f t="array" ref="O32:P32">'3941'!E28:F28</f>
        <v>229</v>
      </c>
      <c r="P32" s="309">
        <v>0</v>
      </c>
      <c r="Q32" s="331">
        <f t="shared" si="6"/>
        <v>8993.196375545851</v>
      </c>
      <c r="R32" s="331">
        <f t="shared" si="3"/>
        <v>-171.16772925764192</v>
      </c>
      <c r="S32" s="331">
        <f t="shared" si="4"/>
        <v>8822.0286462882086</v>
      </c>
      <c r="U32" s="331">
        <f t="shared" si="7"/>
        <v>8822.0286462882086</v>
      </c>
      <c r="V32" s="331">
        <f t="shared" si="0"/>
        <v>0</v>
      </c>
      <c r="W32" s="331">
        <f t="shared" si="1"/>
        <v>0</v>
      </c>
    </row>
    <row r="33" spans="1:23" x14ac:dyDescent="0.2">
      <c r="A33" s="310">
        <v>28</v>
      </c>
      <c r="B33" s="334" t="s">
        <v>264</v>
      </c>
      <c r="C33" s="337" t="s">
        <v>265</v>
      </c>
      <c r="D33" s="326">
        <f>'[2]3961'!G$135</f>
        <v>0</v>
      </c>
      <c r="E33" s="326" t="str">
        <f>'[2]3961'!H$133</f>
        <v/>
      </c>
      <c r="F33" s="327"/>
      <c r="G33" s="328"/>
      <c r="H33" s="329"/>
      <c r="I33" s="330"/>
      <c r="J33" s="330"/>
      <c r="K33" s="330"/>
      <c r="L33" s="330"/>
      <c r="M33" s="331"/>
      <c r="N33" s="332"/>
      <c r="O33" s="330"/>
      <c r="Q33" s="331"/>
      <c r="R33" s="331"/>
      <c r="S33" s="331"/>
      <c r="U33" s="331"/>
      <c r="V33" s="331"/>
      <c r="W33" s="331"/>
    </row>
    <row r="34" spans="1:23" x14ac:dyDescent="0.2">
      <c r="A34" s="310">
        <v>29</v>
      </c>
      <c r="B34" s="334" t="s">
        <v>266</v>
      </c>
      <c r="C34" s="325" t="s">
        <v>267</v>
      </c>
      <c r="D34" s="326">
        <f>'[2]3971'!G$135</f>
        <v>0</v>
      </c>
      <c r="E34" s="326" t="str">
        <f>'[2]3971'!H$133</f>
        <v/>
      </c>
      <c r="F34" s="327">
        <f t="shared" si="5"/>
        <v>1.8851811284898153E-2</v>
      </c>
      <c r="G34" s="328">
        <f t="shared" si="2"/>
        <v>1.980731441654884E-2</v>
      </c>
      <c r="H34" s="329"/>
      <c r="I34" s="330">
        <f>'3971'!$J$107</f>
        <v>5205468.5100000007</v>
      </c>
      <c r="J34" s="330">
        <f>'3971'!$J$109</f>
        <v>4954357.1600000011</v>
      </c>
      <c r="K34" s="330">
        <f>'3971'!$J$114</f>
        <v>-98132.51</v>
      </c>
      <c r="L34" s="330">
        <f>'3971'!$J$116</f>
        <v>5107336.0000000009</v>
      </c>
      <c r="M34" s="331">
        <f>'3971'!$J$124</f>
        <v>426358.86</v>
      </c>
      <c r="N34" s="332"/>
      <c r="O34" s="330" cm="1">
        <f t="array" ref="O34:P34">'3971'!E28:F28</f>
        <v>631.07999999999993</v>
      </c>
      <c r="P34" s="309">
        <v>0</v>
      </c>
      <c r="Q34" s="331">
        <f t="shared" si="6"/>
        <v>8248.5081289218506</v>
      </c>
      <c r="R34" s="331">
        <f t="shared" si="3"/>
        <v>-155.49931862838309</v>
      </c>
      <c r="S34" s="331">
        <f t="shared" si="4"/>
        <v>8093.0088102934678</v>
      </c>
      <c r="U34" s="331">
        <f t="shared" si="7"/>
        <v>0</v>
      </c>
      <c r="V34" s="331">
        <f t="shared" si="0"/>
        <v>0</v>
      </c>
      <c r="W34" s="331">
        <f t="shared" si="1"/>
        <v>8093.0088102934678</v>
      </c>
    </row>
    <row r="35" spans="1:23" x14ac:dyDescent="0.2">
      <c r="A35" s="310">
        <v>30</v>
      </c>
      <c r="B35" s="334" t="s">
        <v>268</v>
      </c>
      <c r="C35" s="325" t="s">
        <v>269</v>
      </c>
      <c r="D35" s="326">
        <f>'[2]4001'!G$135</f>
        <v>0</v>
      </c>
      <c r="E35" s="326" t="str">
        <f>'[2]4001'!H$133</f>
        <v/>
      </c>
      <c r="F35" s="327">
        <f t="shared" si="5"/>
        <v>1.7444106245201738E-2</v>
      </c>
      <c r="G35" s="328">
        <f t="shared" si="2"/>
        <v>1.8328445879606008E-2</v>
      </c>
      <c r="H35" s="329"/>
      <c r="I35" s="330">
        <f>'4001'!$J$107</f>
        <v>6019584.4099999992</v>
      </c>
      <c r="J35" s="330">
        <f>'4001'!$J$109</f>
        <v>5729142.0499999989</v>
      </c>
      <c r="K35" s="330">
        <f>'4001'!$J$114</f>
        <v>-105006.27</v>
      </c>
      <c r="L35" s="330">
        <f>'4001'!$J$116</f>
        <v>5914578.1399999997</v>
      </c>
      <c r="M35" s="331">
        <f>'4001'!$J$124</f>
        <v>493503.4</v>
      </c>
      <c r="N35" s="332"/>
      <c r="O35" s="330" cm="1">
        <f t="array" ref="O35:P35">'4001'!E28:F28</f>
        <v>682</v>
      </c>
      <c r="P35" s="309">
        <v>0</v>
      </c>
      <c r="Q35" s="331">
        <f t="shared" si="6"/>
        <v>8826.3701026392955</v>
      </c>
      <c r="R35" s="331">
        <f t="shared" si="3"/>
        <v>-153.96813782991202</v>
      </c>
      <c r="S35" s="331">
        <f t="shared" si="4"/>
        <v>8672.4019648093836</v>
      </c>
      <c r="U35" s="331">
        <f t="shared" si="7"/>
        <v>0</v>
      </c>
      <c r="V35" s="331">
        <f t="shared" si="0"/>
        <v>0</v>
      </c>
      <c r="W35" s="331">
        <f t="shared" si="1"/>
        <v>8672.4019648093836</v>
      </c>
    </row>
    <row r="36" spans="1:23" x14ac:dyDescent="0.2">
      <c r="A36" s="310">
        <v>31</v>
      </c>
      <c r="B36" s="334">
        <v>4002</v>
      </c>
      <c r="C36" s="325" t="s">
        <v>270</v>
      </c>
      <c r="D36" s="326">
        <f>'[2]4002'!G$135</f>
        <v>0</v>
      </c>
      <c r="E36" s="326" t="str">
        <f>'[2]4002'!H$133</f>
        <v/>
      </c>
      <c r="F36" s="327">
        <f t="shared" si="5"/>
        <v>1.20790189042125E-2</v>
      </c>
      <c r="G36" s="328">
        <f t="shared" si="2"/>
        <v>1.2701186861603781E-2</v>
      </c>
      <c r="H36" s="329"/>
      <c r="I36" s="330">
        <f>'4002'!$J$107</f>
        <v>8679085.6799999997</v>
      </c>
      <c r="J36" s="330">
        <f>'4002'!$J$109</f>
        <v>8253940.4499999993</v>
      </c>
      <c r="K36" s="330">
        <f>'4002'!$J$114</f>
        <v>-104834.84</v>
      </c>
      <c r="L36" s="330">
        <f>'4002'!$J$116</f>
        <v>8574250.8399999999</v>
      </c>
      <c r="M36" s="331">
        <f>'4002'!$J$124</f>
        <v>715174.91</v>
      </c>
      <c r="N36" s="332"/>
      <c r="O36" s="330" cm="1">
        <f t="array" ref="O36:P36">'4002'!E28:F28</f>
        <v>984.16</v>
      </c>
      <c r="P36" s="309">
        <v>0</v>
      </c>
      <c r="Q36" s="331">
        <f t="shared" si="6"/>
        <v>8818.7750772232157</v>
      </c>
      <c r="R36" s="331">
        <f t="shared" si="3"/>
        <v>-106.52215086977728</v>
      </c>
      <c r="S36" s="331">
        <f t="shared" si="4"/>
        <v>8712.2529263534379</v>
      </c>
      <c r="U36" s="331">
        <f t="shared" si="7"/>
        <v>0</v>
      </c>
      <c r="V36" s="331">
        <f t="shared" si="0"/>
        <v>0</v>
      </c>
      <c r="W36" s="331">
        <f t="shared" si="1"/>
        <v>8712.2529263534379</v>
      </c>
    </row>
    <row r="37" spans="1:23" x14ac:dyDescent="0.2">
      <c r="A37" s="310">
        <v>32</v>
      </c>
      <c r="B37" s="334">
        <v>4012</v>
      </c>
      <c r="C37" s="325" t="s">
        <v>271</v>
      </c>
      <c r="D37" s="326" t="str">
        <f>'[2]4012'!G$135</f>
        <v>H</v>
      </c>
      <c r="E37" s="326" t="str">
        <f>'[2]4012'!H$133</f>
        <v/>
      </c>
      <c r="F37" s="327">
        <f t="shared" si="5"/>
        <v>7.9866594856102778E-3</v>
      </c>
      <c r="G37" s="328">
        <f t="shared" si="2"/>
        <v>8.3870105243412322E-3</v>
      </c>
      <c r="H37" s="329"/>
      <c r="I37" s="330">
        <f>'4012'!$J$107</f>
        <v>5024831.7299999995</v>
      </c>
      <c r="J37" s="330">
        <f>'4012'!$J$109</f>
        <v>4784973.13</v>
      </c>
      <c r="K37" s="330">
        <f>'4012'!$J$114</f>
        <v>-40131.620000000003</v>
      </c>
      <c r="L37" s="330">
        <f>'4012'!$J$116</f>
        <v>4984700.1099999994</v>
      </c>
      <c r="M37" s="331">
        <f>'4012'!$J$124</f>
        <v>417398.36</v>
      </c>
      <c r="N37" s="332"/>
      <c r="O37" s="330" cm="1">
        <f t="array" ref="O37:P37">'4012'!E28:F28</f>
        <v>596.16</v>
      </c>
      <c r="P37" s="309">
        <v>0</v>
      </c>
      <c r="Q37" s="331">
        <f t="shared" si="6"/>
        <v>8428.6629931562002</v>
      </c>
      <c r="R37" s="331">
        <f t="shared" si="3"/>
        <v>-67.316861245303286</v>
      </c>
      <c r="S37" s="331">
        <f t="shared" si="4"/>
        <v>8361.3461319108956</v>
      </c>
      <c r="U37" s="331">
        <f t="shared" si="7"/>
        <v>8361.3461319108956</v>
      </c>
      <c r="V37" s="331">
        <f t="shared" si="0"/>
        <v>0</v>
      </c>
      <c r="W37" s="331">
        <f t="shared" si="1"/>
        <v>0</v>
      </c>
    </row>
    <row r="38" spans="1:23" x14ac:dyDescent="0.2">
      <c r="A38" s="310">
        <v>33</v>
      </c>
      <c r="B38" s="334">
        <v>4013</v>
      </c>
      <c r="C38" s="325" t="s">
        <v>272</v>
      </c>
      <c r="D38" s="326" t="str">
        <f>'[2]4013'!G$135</f>
        <v>H</v>
      </c>
      <c r="E38" s="326" t="str">
        <f>'[2]4013'!H$133</f>
        <v/>
      </c>
      <c r="F38" s="327">
        <f t="shared" si="5"/>
        <v>4.6854077760831074E-3</v>
      </c>
      <c r="G38" s="328">
        <f t="shared" si="2"/>
        <v>4.895529176667625E-3</v>
      </c>
      <c r="H38" s="329"/>
      <c r="I38" s="330">
        <f>'4013'!$J$107</f>
        <v>9341472.9499999993</v>
      </c>
      <c r="J38" s="330">
        <f>'4013'!$J$109</f>
        <v>8940526.8399999999</v>
      </c>
      <c r="K38" s="330">
        <f>'4013'!$J$114</f>
        <v>-43768.61</v>
      </c>
      <c r="L38" s="330">
        <f>'4013'!$J$116</f>
        <v>9297704.3399999999</v>
      </c>
      <c r="M38" s="331">
        <f>'4013'!$J$124</f>
        <v>795258.27</v>
      </c>
      <c r="N38" s="332"/>
      <c r="O38" s="330" cm="1">
        <f t="array" ref="O38:P38">'4013'!E28:F28</f>
        <v>1021.3399999999999</v>
      </c>
      <c r="P38" s="309">
        <v>0</v>
      </c>
      <c r="Q38" s="331">
        <f t="shared" si="6"/>
        <v>9146.2910979693352</v>
      </c>
      <c r="R38" s="331">
        <f t="shared" si="3"/>
        <v>-42.854103432745219</v>
      </c>
      <c r="S38" s="331">
        <f t="shared" si="4"/>
        <v>9103.4369945365906</v>
      </c>
      <c r="U38" s="331">
        <f t="shared" si="7"/>
        <v>9103.4369945365906</v>
      </c>
      <c r="V38" s="331">
        <f t="shared" si="0"/>
        <v>0</v>
      </c>
      <c r="W38" s="331">
        <f t="shared" si="1"/>
        <v>0</v>
      </c>
    </row>
    <row r="39" spans="1:23" x14ac:dyDescent="0.2">
      <c r="A39" s="310">
        <v>34</v>
      </c>
      <c r="B39" s="334">
        <v>4020</v>
      </c>
      <c r="C39" s="335" t="s">
        <v>273</v>
      </c>
      <c r="D39" s="326">
        <f>'[2]4020'!G$135</f>
        <v>0</v>
      </c>
      <c r="E39" s="326" t="str">
        <f>'[2]4020'!H$133</f>
        <v/>
      </c>
      <c r="F39" s="327">
        <f t="shared" si="5"/>
        <v>9.5543748510928915E-3</v>
      </c>
      <c r="G39" s="328">
        <f t="shared" si="2"/>
        <v>1.003645223016628E-2</v>
      </c>
      <c r="H39" s="329"/>
      <c r="I39" s="330">
        <f>'4020'!$J$107</f>
        <v>10972108.76</v>
      </c>
      <c r="J39" s="330">
        <f>'4020'!$J$109</f>
        <v>10445089.32</v>
      </c>
      <c r="K39" s="330">
        <f>'4020'!$J$114</f>
        <v>-104831.64</v>
      </c>
      <c r="L39" s="330">
        <f>'4020'!$J$116</f>
        <v>10867277.119999999</v>
      </c>
      <c r="M39" s="331">
        <f>'4020'!$J$124</f>
        <v>906770.45</v>
      </c>
      <c r="N39" s="332"/>
      <c r="O39" s="330" cm="1">
        <f t="array" ref="O39:P39">'4020'!E28:F28</f>
        <v>1245.4599999999998</v>
      </c>
      <c r="P39" s="309">
        <v>0</v>
      </c>
      <c r="Q39" s="331">
        <f t="shared" si="6"/>
        <v>8809.6837794870989</v>
      </c>
      <c r="R39" s="331">
        <f t="shared" si="3"/>
        <v>-84.1710211488125</v>
      </c>
      <c r="S39" s="331">
        <f t="shared" si="4"/>
        <v>8725.5127583382855</v>
      </c>
      <c r="U39" s="331">
        <f t="shared" si="7"/>
        <v>0</v>
      </c>
      <c r="V39" s="331">
        <f t="shared" si="0"/>
        <v>0</v>
      </c>
      <c r="W39" s="331">
        <f t="shared" si="1"/>
        <v>8725.5127583382855</v>
      </c>
    </row>
    <row r="40" spans="1:23" x14ac:dyDescent="0.2">
      <c r="A40" s="310">
        <v>35</v>
      </c>
      <c r="B40" s="334">
        <v>4030</v>
      </c>
      <c r="C40" s="335" t="s">
        <v>274</v>
      </c>
      <c r="D40" s="326">
        <f>'[2]4030'!G$135</f>
        <v>0</v>
      </c>
      <c r="E40" s="326" t="str">
        <f>'[2]4030'!H$133</f>
        <v/>
      </c>
      <c r="F40" s="327">
        <f t="shared" si="5"/>
        <v>3.9077430237361356E-2</v>
      </c>
      <c r="G40" s="328">
        <f t="shared" si="2"/>
        <v>4.1115715617296808E-2</v>
      </c>
      <c r="H40" s="329"/>
      <c r="I40" s="330">
        <f>'4030'!$J$107</f>
        <v>2725886</v>
      </c>
      <c r="J40" s="330">
        <f>'4030'!$J$109</f>
        <v>2590751.94</v>
      </c>
      <c r="K40" s="330">
        <f>'4030'!$J$114</f>
        <v>-106520.62</v>
      </c>
      <c r="L40" s="330">
        <f>'4030'!$J$116</f>
        <v>2619365.38</v>
      </c>
      <c r="M40" s="331">
        <f>'4030'!$J$124</f>
        <v>218407.85</v>
      </c>
      <c r="N40" s="332"/>
      <c r="O40" s="330" cm="1">
        <f t="array" ref="O40:P40">'4030'!E28:F28</f>
        <v>304.02</v>
      </c>
      <c r="P40" s="309">
        <v>0</v>
      </c>
      <c r="Q40" s="331">
        <f t="shared" si="6"/>
        <v>8966.1403855009539</v>
      </c>
      <c r="R40" s="331">
        <f>K40/O40</f>
        <v>-350.37372541280178</v>
      </c>
      <c r="S40" s="331">
        <f>L40/O40</f>
        <v>8615.766660088153</v>
      </c>
      <c r="U40" s="331">
        <f t="shared" si="7"/>
        <v>0</v>
      </c>
      <c r="V40" s="331">
        <f t="shared" si="0"/>
        <v>0</v>
      </c>
      <c r="W40" s="331">
        <f>IF(AND(U40=0,V40=0),S40,)</f>
        <v>8615.766660088153</v>
      </c>
    </row>
    <row r="41" spans="1:23" x14ac:dyDescent="0.2">
      <c r="A41" s="310">
        <v>36</v>
      </c>
      <c r="B41" s="334">
        <v>4031</v>
      </c>
      <c r="C41" s="335" t="s">
        <v>275</v>
      </c>
      <c r="D41" s="326">
        <f>'[2]4031'!G$135</f>
        <v>0</v>
      </c>
      <c r="E41" s="326" t="str">
        <f>'[2]4031'!H$133</f>
        <v/>
      </c>
      <c r="F41" s="327">
        <f t="shared" si="5"/>
        <v>2.5954393566967864E-2</v>
      </c>
      <c r="G41" s="328">
        <f t="shared" si="2"/>
        <v>2.7284236323144251E-2</v>
      </c>
      <c r="H41" s="329"/>
      <c r="I41" s="330">
        <f>'4031'!$J$107</f>
        <v>4019129.93</v>
      </c>
      <c r="J41" s="330">
        <f>'4031'!$J$109</f>
        <v>3823236.2</v>
      </c>
      <c r="K41" s="330">
        <f>'4031'!$J$114</f>
        <v>-104314.08</v>
      </c>
      <c r="L41" s="330">
        <f>'4031'!$J$116</f>
        <v>3914815.85</v>
      </c>
      <c r="M41" s="331">
        <f>'4031'!$J$124</f>
        <v>326575.68</v>
      </c>
      <c r="N41" s="332"/>
      <c r="O41" s="330" cm="1">
        <f t="array" ref="O41:P41">'4031'!E28:F28</f>
        <v>458.14000000000004</v>
      </c>
      <c r="P41" s="309">
        <v>0</v>
      </c>
      <c r="Q41" s="331">
        <f t="shared" si="6"/>
        <v>8772.7112454708167</v>
      </c>
      <c r="R41" s="331">
        <f>K41/O41</f>
        <v>-227.69040031431439</v>
      </c>
      <c r="S41" s="331">
        <f>L41/O41</f>
        <v>8545.0208451565013</v>
      </c>
      <c r="U41" s="331">
        <f t="shared" si="7"/>
        <v>0</v>
      </c>
      <c r="V41" s="331">
        <f t="shared" si="0"/>
        <v>0</v>
      </c>
      <c r="W41" s="331">
        <f>IF(AND(U41=0,V41=0),S41,)</f>
        <v>8545.0208451565013</v>
      </c>
    </row>
    <row r="42" spans="1:23" x14ac:dyDescent="0.2">
      <c r="A42" s="310">
        <v>37</v>
      </c>
      <c r="B42" s="338">
        <v>4041</v>
      </c>
      <c r="C42" s="339" t="s">
        <v>276</v>
      </c>
      <c r="D42" s="340" t="str">
        <f>'[2]4041'!G$135</f>
        <v>H</v>
      </c>
      <c r="E42" s="340" t="str">
        <f>'[2]4041'!H$133</f>
        <v/>
      </c>
      <c r="F42" s="327">
        <f t="shared" si="5"/>
        <v>1.9036233129653836E-2</v>
      </c>
      <c r="G42" s="328">
        <f t="shared" si="2"/>
        <v>2.0000004250227698E-2</v>
      </c>
      <c r="H42" s="329"/>
      <c r="I42" s="330">
        <f>'4041'!$J$107</f>
        <v>791018.8899999999</v>
      </c>
      <c r="J42" s="330">
        <f>'4041'!$J$109</f>
        <v>752900.83999999985</v>
      </c>
      <c r="K42" s="330">
        <f>'4041'!$J$114</f>
        <v>-15058.02</v>
      </c>
      <c r="L42" s="330">
        <f>'4041'!$J$116</f>
        <v>775960.86999999988</v>
      </c>
      <c r="M42" s="331">
        <f>'4041'!$J$124</f>
        <v>64770.19</v>
      </c>
      <c r="N42" s="332"/>
      <c r="O42" s="330" cm="1">
        <f t="array" ref="O42:P42">'4041'!E28:F28</f>
        <v>94.7</v>
      </c>
      <c r="P42" s="309">
        <v>0</v>
      </c>
      <c r="Q42" s="331">
        <f t="shared" si="6"/>
        <v>8352.8921858500507</v>
      </c>
      <c r="R42" s="331">
        <f t="shared" si="3"/>
        <v>-159.0076029567054</v>
      </c>
      <c r="S42" s="331">
        <f t="shared" si="4"/>
        <v>8193.8845828933463</v>
      </c>
      <c r="U42" s="331">
        <f t="shared" si="7"/>
        <v>8193.8845828933463</v>
      </c>
      <c r="V42" s="331">
        <f t="shared" si="0"/>
        <v>0</v>
      </c>
      <c r="W42" s="331">
        <f t="shared" si="1"/>
        <v>0</v>
      </c>
    </row>
    <row r="43" spans="1:23" x14ac:dyDescent="0.2">
      <c r="A43" s="310">
        <v>38</v>
      </c>
      <c r="B43" s="341">
        <v>4050</v>
      </c>
      <c r="C43" s="342" t="s">
        <v>277</v>
      </c>
      <c r="D43" s="343">
        <f>'[2]4050'!G$135</f>
        <v>0</v>
      </c>
      <c r="E43" s="343" t="str">
        <f>'[2]4050'!H$133</f>
        <v/>
      </c>
      <c r="F43" s="327">
        <f t="shared" si="5"/>
        <v>1.634392523092881E-2</v>
      </c>
      <c r="G43" s="328">
        <f t="shared" si="2"/>
        <v>1.7184965629876096E-2</v>
      </c>
      <c r="H43" s="329"/>
      <c r="I43" s="330">
        <f>'4050'!$J$107</f>
        <v>6331350.5499999998</v>
      </c>
      <c r="J43" s="330">
        <f>'4050'!$J$109</f>
        <v>6021491.2400000002</v>
      </c>
      <c r="K43" s="330">
        <f>'4050'!$J$114</f>
        <v>-103479.12</v>
      </c>
      <c r="L43" s="330">
        <f>'4050'!$J$116</f>
        <v>6227871.4299999997</v>
      </c>
      <c r="M43" s="331">
        <f>'4050'!$J$124</f>
        <v>519597.92</v>
      </c>
      <c r="N43" s="332"/>
      <c r="O43" s="330" cm="1">
        <f t="array" ref="O43:P43">'4050'!E28:F28</f>
        <v>727.37999999999988</v>
      </c>
      <c r="P43" s="309">
        <v>0</v>
      </c>
      <c r="Q43" s="331">
        <f t="shared" si="6"/>
        <v>8704.3231185900095</v>
      </c>
      <c r="R43" s="331">
        <f t="shared" si="3"/>
        <v>-142.26280623608019</v>
      </c>
      <c r="S43" s="331">
        <f t="shared" si="4"/>
        <v>8562.0603123539295</v>
      </c>
      <c r="U43" s="331">
        <f t="shared" si="7"/>
        <v>0</v>
      </c>
      <c r="V43" s="331">
        <f t="shared" si="0"/>
        <v>0</v>
      </c>
      <c r="W43" s="331">
        <f t="shared" si="1"/>
        <v>8562.0603123539295</v>
      </c>
    </row>
    <row r="44" spans="1:23" x14ac:dyDescent="0.2">
      <c r="A44" s="310">
        <v>39</v>
      </c>
      <c r="B44" s="341">
        <v>4051</v>
      </c>
      <c r="C44" s="342" t="s">
        <v>278</v>
      </c>
      <c r="D44" s="343">
        <f>'[2]4051'!G$135</f>
        <v>0</v>
      </c>
      <c r="E44" s="343" t="str">
        <f>'[2]4051'!H$133</f>
        <v/>
      </c>
      <c r="F44" s="327">
        <f t="shared" si="5"/>
        <v>1.5581452771788656E-2</v>
      </c>
      <c r="G44" s="328">
        <f t="shared" si="2"/>
        <v>1.6382699726555087E-2</v>
      </c>
      <c r="H44" s="329"/>
      <c r="I44" s="330">
        <f>'4051'!$J$107</f>
        <v>6677947.2700000005</v>
      </c>
      <c r="J44" s="330">
        <f>'4051'!$J$109</f>
        <v>6351341.4600000009</v>
      </c>
      <c r="K44" s="330">
        <f>'4051'!$J$114</f>
        <v>-104052.12</v>
      </c>
      <c r="L44" s="330">
        <f>'4051'!$J$116</f>
        <v>6573895.1500000004</v>
      </c>
      <c r="M44" s="331">
        <f>'4051'!$J$124</f>
        <v>548429.27</v>
      </c>
      <c r="N44" s="332"/>
      <c r="O44" s="330" cm="1">
        <f t="array" ref="O44:P44">'4051'!E28:F28</f>
        <v>763</v>
      </c>
      <c r="P44" s="309">
        <v>0</v>
      </c>
      <c r="Q44" s="331">
        <f t="shared" si="6"/>
        <v>8752.2244692005243</v>
      </c>
      <c r="R44" s="331">
        <f t="shared" si="3"/>
        <v>-136.37237221494101</v>
      </c>
      <c r="S44" s="331">
        <f t="shared" si="4"/>
        <v>8615.8520969855836</v>
      </c>
      <c r="U44" s="331">
        <f t="shared" si="7"/>
        <v>0</v>
      </c>
      <c r="V44" s="331">
        <f t="shared" si="0"/>
        <v>0</v>
      </c>
      <c r="W44" s="331">
        <f t="shared" si="1"/>
        <v>8615.8520969855836</v>
      </c>
    </row>
    <row r="45" spans="1:23" x14ac:dyDescent="0.2">
      <c r="A45" s="310">
        <v>40</v>
      </c>
      <c r="B45" s="341">
        <v>4061</v>
      </c>
      <c r="C45" s="344" t="s">
        <v>279</v>
      </c>
      <c r="D45" s="343">
        <f>'[2]4061'!G$135</f>
        <v>0</v>
      </c>
      <c r="E45" s="343" t="str">
        <f>'[2]4061'!H$133</f>
        <v/>
      </c>
      <c r="F45" s="327">
        <f t="shared" si="5"/>
        <v>1.2371883652548498E-2</v>
      </c>
      <c r="G45" s="328">
        <f t="shared" si="2"/>
        <v>1.2996194096857941E-2</v>
      </c>
      <c r="H45" s="329"/>
      <c r="I45" s="330">
        <f>'4061'!$J$107</f>
        <v>8461582.1600000001</v>
      </c>
      <c r="J45" s="330">
        <f>'4061'!$J$109</f>
        <v>8055105.1500000004</v>
      </c>
      <c r="K45" s="330">
        <f>'4061'!$J$114</f>
        <v>-104685.71</v>
      </c>
      <c r="L45" s="330">
        <f>'4061'!$J$116</f>
        <v>8356896.4500000002</v>
      </c>
      <c r="M45" s="331">
        <f>'4061'!$J$124</f>
        <v>697323.13</v>
      </c>
      <c r="N45" s="332"/>
      <c r="O45" s="330" cm="1">
        <f t="array" ref="O45:P45">'4061'!E28:F28</f>
        <v>961.82</v>
      </c>
      <c r="P45" s="309">
        <v>0</v>
      </c>
      <c r="Q45" s="331">
        <f t="shared" si="6"/>
        <v>8797.4695473165448</v>
      </c>
      <c r="R45" s="331">
        <f t="shared" si="3"/>
        <v>-108.8412696762388</v>
      </c>
      <c r="S45" s="331">
        <f t="shared" si="4"/>
        <v>8688.6282776403059</v>
      </c>
      <c r="U45" s="331">
        <f t="shared" si="7"/>
        <v>0</v>
      </c>
      <c r="V45" s="331">
        <f t="shared" si="0"/>
        <v>0</v>
      </c>
      <c r="W45" s="331">
        <f t="shared" si="1"/>
        <v>8688.6282776403059</v>
      </c>
    </row>
    <row r="46" spans="1:23" x14ac:dyDescent="0.2">
      <c r="A46" s="310">
        <v>41</v>
      </c>
      <c r="B46" s="341">
        <v>4080</v>
      </c>
      <c r="C46" s="345" t="s">
        <v>280</v>
      </c>
      <c r="D46" s="340">
        <f>'[2]4080'!G$135</f>
        <v>0</v>
      </c>
      <c r="E46" s="340" t="str">
        <f>'[2]4080'!H$133</f>
        <v/>
      </c>
      <c r="F46" s="327"/>
      <c r="G46" s="328"/>
      <c r="H46" s="329"/>
      <c r="I46" s="330"/>
      <c r="J46" s="330"/>
      <c r="K46" s="330"/>
      <c r="L46" s="330"/>
      <c r="M46" s="331"/>
      <c r="N46" s="332"/>
      <c r="O46" s="330"/>
      <c r="Q46" s="331"/>
      <c r="R46" s="331"/>
      <c r="S46" s="331"/>
      <c r="U46" s="331"/>
      <c r="V46" s="331"/>
      <c r="W46" s="331"/>
    </row>
    <row r="47" spans="1:23" x14ac:dyDescent="0.2">
      <c r="A47" s="310">
        <v>42</v>
      </c>
      <c r="B47" s="341">
        <v>4081</v>
      </c>
      <c r="C47" s="344" t="s">
        <v>281</v>
      </c>
      <c r="D47" s="340">
        <f>'[2]4081'!G$135</f>
        <v>0</v>
      </c>
      <c r="E47" s="340" t="str">
        <f>'[2]4081'!H$133</f>
        <v/>
      </c>
      <c r="F47" s="327">
        <f t="shared" si="5"/>
        <v>4.7624134162443384E-2</v>
      </c>
      <c r="G47" s="328">
        <f t="shared" si="2"/>
        <v>4.9999999507395657E-2</v>
      </c>
      <c r="H47" s="329"/>
      <c r="I47" s="330">
        <f>'4081'!$J$107</f>
        <v>1065650.2400000002</v>
      </c>
      <c r="J47" s="330">
        <f>'4081'!$J$109</f>
        <v>1015013.4100000003</v>
      </c>
      <c r="K47" s="330">
        <f>'4081'!$J$114</f>
        <v>-50750.67</v>
      </c>
      <c r="L47" s="330">
        <f>'4081'!$J$116</f>
        <v>1014899.5700000002</v>
      </c>
      <c r="M47" s="331">
        <f>'4081'!$J$124</f>
        <v>84667.61</v>
      </c>
      <c r="N47" s="332"/>
      <c r="O47" s="330" cm="1">
        <f t="array" ref="O47:P47">'4081'!E28:F28</f>
        <v>128.28</v>
      </c>
      <c r="P47" s="309">
        <v>0</v>
      </c>
      <c r="Q47" s="331">
        <f t="shared" si="6"/>
        <v>8307.2204552541334</v>
      </c>
      <c r="R47" s="331">
        <f t="shared" si="3"/>
        <v>-395.62418147801679</v>
      </c>
      <c r="S47" s="331">
        <f t="shared" si="4"/>
        <v>7911.5962737761165</v>
      </c>
      <c r="U47" s="331">
        <f t="shared" si="7"/>
        <v>0</v>
      </c>
      <c r="V47" s="331">
        <f t="shared" si="0"/>
        <v>0</v>
      </c>
      <c r="W47" s="331">
        <f t="shared" si="1"/>
        <v>7911.5962737761165</v>
      </c>
    </row>
    <row r="48" spans="1:23" x14ac:dyDescent="0.2">
      <c r="A48" s="310">
        <v>43</v>
      </c>
      <c r="B48" s="341">
        <v>4090</v>
      </c>
      <c r="C48" s="344" t="s">
        <v>282</v>
      </c>
      <c r="D48" s="340">
        <f>'[2]4090'!G$135</f>
        <v>0</v>
      </c>
      <c r="E48" s="340" t="str">
        <f>'[2]4090'!H$133</f>
        <v/>
      </c>
      <c r="F48" s="327">
        <f t="shared" si="5"/>
        <v>4.2764862628502411E-2</v>
      </c>
      <c r="G48" s="328">
        <f t="shared" si="2"/>
        <v>4.4960793246996464E-2</v>
      </c>
      <c r="H48" s="329"/>
      <c r="I48" s="330">
        <f>'4090'!$J$107</f>
        <v>2320068.25</v>
      </c>
      <c r="J48" s="330">
        <f>'4090'!$J$109</f>
        <v>2206753.77</v>
      </c>
      <c r="K48" s="330">
        <f>'4090'!$J$114</f>
        <v>-99217.4</v>
      </c>
      <c r="L48" s="330">
        <f>'4090'!$J$116</f>
        <v>2220850.85</v>
      </c>
      <c r="M48" s="331">
        <f>'4090'!$J$124</f>
        <v>185341.43</v>
      </c>
      <c r="N48" s="332"/>
      <c r="O48" s="330" cm="1">
        <f t="array" ref="O48:P48">'4090'!E28:F28</f>
        <v>278.02000000000004</v>
      </c>
      <c r="P48" s="309">
        <v>0</v>
      </c>
      <c r="Q48" s="331">
        <f t="shared" si="6"/>
        <v>8344.9688871304206</v>
      </c>
      <c r="R48" s="331">
        <f t="shared" si="3"/>
        <v>-356.87144809725913</v>
      </c>
      <c r="S48" s="331">
        <f t="shared" si="4"/>
        <v>7988.0974390331621</v>
      </c>
      <c r="U48" s="331">
        <f t="shared" si="7"/>
        <v>0</v>
      </c>
      <c r="V48" s="331">
        <f t="shared" si="0"/>
        <v>0</v>
      </c>
      <c r="W48" s="331">
        <f t="shared" si="1"/>
        <v>7988.0974390331621</v>
      </c>
    </row>
    <row r="49" spans="1:23" x14ac:dyDescent="0.2">
      <c r="A49" s="310">
        <v>44</v>
      </c>
      <c r="B49" s="341">
        <v>4091</v>
      </c>
      <c r="C49" s="344" t="s">
        <v>283</v>
      </c>
      <c r="D49" s="340">
        <f>'[2]4091'!G$135</f>
        <v>0</v>
      </c>
      <c r="E49" s="340" t="str">
        <f>'[2]4091'!H$133</f>
        <v/>
      </c>
      <c r="F49" s="327">
        <f t="shared" si="5"/>
        <v>2.9796642995408625E-2</v>
      </c>
      <c r="G49" s="328">
        <f t="shared" si="2"/>
        <v>3.1333031551035832E-2</v>
      </c>
      <c r="H49" s="329"/>
      <c r="I49" s="330">
        <f>'4091'!$J$107</f>
        <v>3570225.68</v>
      </c>
      <c r="J49" s="330">
        <f>'4091'!$J$109</f>
        <v>3395162.7</v>
      </c>
      <c r="K49" s="330">
        <f>'4091'!$J$114</f>
        <v>-106380.74</v>
      </c>
      <c r="L49" s="330">
        <f>'4091'!$J$116</f>
        <v>3463844.94</v>
      </c>
      <c r="M49" s="331">
        <f>'4091'!$J$124</f>
        <v>288895.8</v>
      </c>
      <c r="N49" s="332"/>
      <c r="O49" s="330" cm="1">
        <f t="array" ref="O49:P49">'4091'!E28:F28</f>
        <v>398.94</v>
      </c>
      <c r="P49" s="309">
        <v>0</v>
      </c>
      <c r="Q49" s="331">
        <f t="shared" si="6"/>
        <v>8949.2797914473358</v>
      </c>
      <c r="R49" s="331">
        <f t="shared" si="3"/>
        <v>-266.65849501178121</v>
      </c>
      <c r="S49" s="331">
        <f t="shared" si="4"/>
        <v>8682.6212964355545</v>
      </c>
      <c r="U49" s="331">
        <f t="shared" si="7"/>
        <v>0</v>
      </c>
      <c r="V49" s="331">
        <f t="shared" si="0"/>
        <v>0</v>
      </c>
      <c r="W49" s="331">
        <f t="shared" si="1"/>
        <v>8682.6212964355545</v>
      </c>
    </row>
    <row r="50" spans="1:23" x14ac:dyDescent="0.2">
      <c r="A50" s="310">
        <v>45</v>
      </c>
      <c r="B50" s="341">
        <v>4100</v>
      </c>
      <c r="C50" s="344" t="s">
        <v>284</v>
      </c>
      <c r="D50" s="340">
        <f>'[2]4100'!G$135</f>
        <v>0</v>
      </c>
      <c r="E50" s="340">
        <f>'[2]4100'!H$133</f>
        <v>1</v>
      </c>
      <c r="F50" s="327">
        <f t="shared" si="5"/>
        <v>1.0005490115842479E-2</v>
      </c>
      <c r="G50" s="328">
        <f t="shared" si="2"/>
        <v>1.0543584511718865E-2</v>
      </c>
      <c r="H50" s="329"/>
      <c r="I50" s="330">
        <f>'4100'!$J$107</f>
        <v>3884034.62</v>
      </c>
      <c r="J50" s="330">
        <f>'4100'!$J$109</f>
        <v>3685811.97</v>
      </c>
      <c r="K50" s="330">
        <f>'4100'!$J$114</f>
        <v>-38861.67</v>
      </c>
      <c r="L50" s="330">
        <f>'4100'!$J$116</f>
        <v>3845172.95</v>
      </c>
      <c r="M50" s="331">
        <f>'4100'!$J$124</f>
        <v>321124.13</v>
      </c>
      <c r="N50" s="332"/>
      <c r="O50" s="330" cm="1">
        <f t="array" ref="O50:P50">'4100'!E28:F28</f>
        <v>101</v>
      </c>
      <c r="P50" s="309">
        <v>0</v>
      </c>
      <c r="Q50" s="331">
        <f t="shared" si="6"/>
        <v>38455.788316831684</v>
      </c>
      <c r="R50" s="331">
        <f t="shared" si="3"/>
        <v>-384.76900990099006</v>
      </c>
      <c r="S50" s="331">
        <f t="shared" si="4"/>
        <v>38071.019306930692</v>
      </c>
      <c r="U50" s="331">
        <f t="shared" si="7"/>
        <v>0</v>
      </c>
      <c r="V50" s="331">
        <f t="shared" si="0"/>
        <v>38071.019999999997</v>
      </c>
      <c r="W50" s="331">
        <f t="shared" si="1"/>
        <v>0</v>
      </c>
    </row>
    <row r="51" spans="1:23" x14ac:dyDescent="0.2">
      <c r="A51" s="310">
        <v>46</v>
      </c>
      <c r="B51" s="341">
        <v>4102</v>
      </c>
      <c r="C51" s="344" t="s">
        <v>285</v>
      </c>
      <c r="D51" s="340">
        <f>'[2]4102'!G$135</f>
        <v>0</v>
      </c>
      <c r="E51" s="340" t="str">
        <f>'[2]4102'!H$133</f>
        <v/>
      </c>
      <c r="F51" s="327">
        <f t="shared" si="5"/>
        <v>4.8054643405668715E-2</v>
      </c>
      <c r="G51" s="328">
        <f t="shared" si="2"/>
        <v>4.9999999999999989E-2</v>
      </c>
      <c r="H51" s="329"/>
      <c r="I51" s="330">
        <f>'4102'!$J$107</f>
        <v>1566972.61</v>
      </c>
      <c r="J51" s="330">
        <f>'4102'!$J$109</f>
        <v>1506006.2000000002</v>
      </c>
      <c r="K51" s="330">
        <f>'4102'!$J$114</f>
        <v>-75300.31</v>
      </c>
      <c r="L51" s="330">
        <f>'4102'!$J$116</f>
        <v>1491672.3</v>
      </c>
      <c r="M51" s="331">
        <f>'4102'!$J$124</f>
        <v>129838.42</v>
      </c>
      <c r="N51" s="332"/>
      <c r="O51" s="330" cm="1">
        <f t="array" ref="O51:P51">'4102'!E28:F28</f>
        <v>181</v>
      </c>
      <c r="P51" s="309">
        <v>0</v>
      </c>
      <c r="Q51" s="331">
        <v>0</v>
      </c>
      <c r="R51" s="331">
        <v>0</v>
      </c>
      <c r="S51" s="331">
        <v>0</v>
      </c>
      <c r="U51" s="331">
        <f t="shared" si="7"/>
        <v>0</v>
      </c>
      <c r="V51" s="331">
        <f t="shared" si="0"/>
        <v>0</v>
      </c>
      <c r="W51" s="331">
        <f>IF(AND(U51=0,V51=0),S51,)</f>
        <v>0</v>
      </c>
    </row>
    <row r="52" spans="1:23" x14ac:dyDescent="0.2">
      <c r="A52" s="310">
        <v>47</v>
      </c>
      <c r="B52" s="341">
        <v>4103</v>
      </c>
      <c r="C52" s="344" t="s">
        <v>286</v>
      </c>
      <c r="D52" s="340">
        <f>'[2]4103'!G$135</f>
        <v>0</v>
      </c>
      <c r="E52" s="340" t="str">
        <f>'[2]4103'!H$133</f>
        <v/>
      </c>
      <c r="F52" s="327">
        <f>IF(I52=0,0,-K52/I52)</f>
        <v>1.2223761611573717E-2</v>
      </c>
      <c r="G52" s="328">
        <f t="shared" si="2"/>
        <v>1.2826301542646985E-2</v>
      </c>
      <c r="H52" s="329"/>
      <c r="I52" s="330">
        <f>'4103'!$J$107</f>
        <v>8456080.3200000003</v>
      </c>
      <c r="J52" s="330">
        <f>'4103'!$J$109</f>
        <v>8058839.8500000006</v>
      </c>
      <c r="K52" s="330">
        <f>'4103'!$J$114</f>
        <v>-103365.11</v>
      </c>
      <c r="L52" s="330">
        <f>'4103'!$J$116</f>
        <v>8352715.21</v>
      </c>
      <c r="M52" s="331">
        <f>'4103'!$J$124</f>
        <v>702200.36</v>
      </c>
      <c r="N52" s="332"/>
      <c r="O52" s="330" cm="1">
        <f t="array" ref="O52:P52">'4103'!E28:F28</f>
        <v>974.56000000000006</v>
      </c>
      <c r="P52" s="309">
        <v>0</v>
      </c>
      <c r="Q52" s="331">
        <f>IF(O52=0,0,I52/O52)</f>
        <v>8676.8185847972418</v>
      </c>
      <c r="R52" s="331">
        <f>IF(O52=0,0,K52/O52)</f>
        <v>-106.06336192743392</v>
      </c>
      <c r="S52" s="331">
        <f>IF(O52=0,0,L52/O52)</f>
        <v>8570.7552228698078</v>
      </c>
      <c r="U52" s="331">
        <f t="shared" si="7"/>
        <v>0</v>
      </c>
      <c r="V52" s="331">
        <f t="shared" si="0"/>
        <v>0</v>
      </c>
      <c r="W52" s="331">
        <f>IF(AND(U52=0,V52=0),S52,)</f>
        <v>8570.7552228698078</v>
      </c>
    </row>
    <row r="53" spans="1:23" x14ac:dyDescent="0.2">
      <c r="A53" s="310">
        <v>48</v>
      </c>
      <c r="B53" s="341">
        <v>4111</v>
      </c>
      <c r="C53" s="344" t="s">
        <v>287</v>
      </c>
      <c r="D53" s="340">
        <f>'[2]4111'!G$135</f>
        <v>0</v>
      </c>
      <c r="E53" s="340" t="str">
        <f>'[2]4111'!H$133</f>
        <v/>
      </c>
      <c r="F53" s="327">
        <f>IF(I53=0,0,-K53/I53)</f>
        <v>3.8731116549737966E-2</v>
      </c>
      <c r="G53" s="328">
        <f t="shared" si="2"/>
        <v>4.0711308030576862E-2</v>
      </c>
      <c r="H53" s="329"/>
      <c r="I53" s="330">
        <f>'4111'!$J$107</f>
        <v>2552384.46</v>
      </c>
      <c r="J53" s="330">
        <f>'4111'!$J$109</f>
        <v>2428236.89</v>
      </c>
      <c r="K53" s="330">
        <f>'4111'!$J$114</f>
        <v>-98856.7</v>
      </c>
      <c r="L53" s="330">
        <f>'4111'!$J$116</f>
        <v>2453527.7599999998</v>
      </c>
      <c r="M53" s="331">
        <f>'4111'!$J$124</f>
        <v>205064.94</v>
      </c>
      <c r="N53" s="332"/>
      <c r="O53" s="330" cm="1">
        <f t="array" ref="O53:P53">'4111'!E28:F28</f>
        <v>307.03999999999996</v>
      </c>
      <c r="P53" s="309">
        <v>0</v>
      </c>
      <c r="Q53" s="331">
        <f>IF(O53=0,0,I53/O53)</f>
        <v>8312.8727853048476</v>
      </c>
      <c r="R53" s="331">
        <f>IF(O53=0,0,K53/O53)</f>
        <v>-321.96684471078692</v>
      </c>
      <c r="S53" s="331">
        <f>IF(O53=0,0,L53/O53)</f>
        <v>7990.9059405940598</v>
      </c>
      <c r="U53" s="331">
        <f t="shared" si="7"/>
        <v>0</v>
      </c>
      <c r="V53" s="331">
        <f t="shared" si="0"/>
        <v>0</v>
      </c>
      <c r="W53" s="331">
        <f>IF(AND(U53=0,V53=0),S53,)</f>
        <v>7990.9059405940598</v>
      </c>
    </row>
    <row r="54" spans="1:23" x14ac:dyDescent="0.2">
      <c r="A54" s="310">
        <v>49</v>
      </c>
      <c r="B54" s="341">
        <v>4131</v>
      </c>
      <c r="C54" s="344" t="s">
        <v>288</v>
      </c>
      <c r="D54" s="340">
        <f>'[2]4103'!G$135</f>
        <v>0</v>
      </c>
      <c r="E54" s="340" t="str">
        <f>'[2]4103'!H$133</f>
        <v/>
      </c>
      <c r="F54" s="327">
        <f>IF(I54=0,0,-K54/I54)</f>
        <v>4.7591520490129456E-2</v>
      </c>
      <c r="G54" s="328">
        <f t="shared" si="2"/>
        <v>4.9999995077512439E-2</v>
      </c>
      <c r="H54" s="329"/>
      <c r="I54" s="330">
        <f>'4131'!$J$107</f>
        <v>853720.57000000007</v>
      </c>
      <c r="J54" s="330">
        <f>'4131'!$J$109</f>
        <v>812597.28</v>
      </c>
      <c r="K54" s="330">
        <f>'4131'!$J$114</f>
        <v>-40629.86</v>
      </c>
      <c r="L54" s="330">
        <f>'4131'!$J$116</f>
        <v>813090.71000000008</v>
      </c>
      <c r="M54" s="331">
        <f>'4131'!$J$124</f>
        <v>67991.27</v>
      </c>
      <c r="N54" s="332"/>
      <c r="O54" s="330" cm="1">
        <f t="array" ref="O54:P54">'4131'!E28:F28</f>
        <v>103.02</v>
      </c>
      <c r="P54" s="309">
        <v>0</v>
      </c>
      <c r="Q54" s="331">
        <f>IF(O54=0,0,I54/O54)</f>
        <v>8286.9401087167553</v>
      </c>
      <c r="R54" s="331">
        <f>IF(O54=0,0,K54/O54)</f>
        <v>-394.38807998446907</v>
      </c>
      <c r="S54" s="331">
        <f>IF(O54=0,0,L54/O54)</f>
        <v>7892.5520287322861</v>
      </c>
      <c r="U54" s="331">
        <f t="shared" si="7"/>
        <v>0</v>
      </c>
      <c r="V54" s="331">
        <f t="shared" si="0"/>
        <v>0</v>
      </c>
      <c r="W54" s="331">
        <f>IF(AND(U54=0,V54=0),S54,)</f>
        <v>7892.5520287322861</v>
      </c>
    </row>
    <row r="55" spans="1:23" x14ac:dyDescent="0.2">
      <c r="A55" s="346"/>
    </row>
    <row r="56" spans="1:23" x14ac:dyDescent="0.2">
      <c r="D56" s="310">
        <f>COUNTIF(D8:D55,"H")</f>
        <v>11</v>
      </c>
      <c r="E56" s="348">
        <f>SUM(E8:E55)</f>
        <v>9</v>
      </c>
      <c r="F56" s="329">
        <f>-K56/I56</f>
        <v>1.5253978432363695E-2</v>
      </c>
      <c r="G56" s="329">
        <f t="shared" si="2"/>
        <v>1.6009372717301414E-2</v>
      </c>
      <c r="I56" s="332">
        <f>SUM(I6:I55)</f>
        <v>210433065.33000001</v>
      </c>
      <c r="J56" s="332">
        <f>SUM(J6:J55)</f>
        <v>200503885.85999998</v>
      </c>
      <c r="K56" s="332">
        <f>SUM(K6:K55)</f>
        <v>-3209941.4400000004</v>
      </c>
      <c r="L56" s="332">
        <f>SUM(L6:L55)</f>
        <v>207223123.89000005</v>
      </c>
      <c r="M56" s="332">
        <f>SUM(M6:M55)</f>
        <v>17349100.219999999</v>
      </c>
      <c r="O56" s="332">
        <f>SUM(O6:O55)</f>
        <v>21439.56</v>
      </c>
      <c r="Q56" s="332">
        <f>SUM(Q6:Q55)</f>
        <v>554431.01057907799</v>
      </c>
      <c r="R56" s="347">
        <f>K56/O56</f>
        <v>-149.72049053245496</v>
      </c>
      <c r="S56" s="347">
        <f>L56/O56</f>
        <v>9665.4560023619906</v>
      </c>
      <c r="U56" s="332">
        <f>AVERAGEIF(U8:U53,"&lt;&gt;0")</f>
        <v>8784.3704359054154</v>
      </c>
      <c r="V56" s="332">
        <f>AVERAGEIF(V8:V53,"&lt;&gt;0")</f>
        <v>26448.80875</v>
      </c>
      <c r="W56" s="332">
        <f>AVERAGEIF(W6:W54,"&lt;&gt;0")</f>
        <v>9066.0610896555736</v>
      </c>
    </row>
    <row r="57" spans="1:23" x14ac:dyDescent="0.2">
      <c r="O57" s="332">
        <f>O56-[2]Consolidated!E32</f>
        <v>37</v>
      </c>
    </row>
    <row r="58" spans="1:23" x14ac:dyDescent="0.2">
      <c r="C58" s="309" t="s">
        <v>289</v>
      </c>
      <c r="I58" s="349">
        <f>Consolidated!I142</f>
        <v>210433065.33000001</v>
      </c>
      <c r="J58" s="349">
        <f>Consolidated!I144</f>
        <v>200503885.85999998</v>
      </c>
      <c r="K58" s="349">
        <f>Consolidated!I155</f>
        <v>-3209941.4400000004</v>
      </c>
      <c r="L58" s="349">
        <f>I58+K58</f>
        <v>207223123.89000002</v>
      </c>
      <c r="M58" s="349">
        <f>Consolidated!I159</f>
        <v>17349100.219999999</v>
      </c>
    </row>
    <row r="59" spans="1:23" x14ac:dyDescent="0.2">
      <c r="L59" s="350"/>
    </row>
    <row r="60" spans="1:23" ht="13.5" thickBot="1" x14ac:dyDescent="0.25">
      <c r="C60" s="309" t="s">
        <v>290</v>
      </c>
      <c r="I60" s="351">
        <f>I58-I56</f>
        <v>0</v>
      </c>
      <c r="J60" s="351">
        <f>J58-J56</f>
        <v>0</v>
      </c>
      <c r="K60" s="351">
        <f>K58-K56</f>
        <v>0</v>
      </c>
      <c r="L60" s="351">
        <f>L58-L56</f>
        <v>0</v>
      </c>
      <c r="M60" s="351">
        <f>M58-M56</f>
        <v>0</v>
      </c>
    </row>
    <row r="61" spans="1:23" ht="13.5" thickTop="1" x14ac:dyDescent="0.2">
      <c r="L61" s="347"/>
    </row>
    <row r="62" spans="1:23" x14ac:dyDescent="0.2">
      <c r="L62" s="332"/>
    </row>
    <row r="63" spans="1:23" x14ac:dyDescent="0.2">
      <c r="L63" s="352"/>
    </row>
    <row r="64" spans="1:23" x14ac:dyDescent="0.2">
      <c r="L64" s="595"/>
    </row>
    <row r="65" spans="12:12" x14ac:dyDescent="0.2">
      <c r="L65" s="596"/>
    </row>
    <row r="66" spans="12:12" x14ac:dyDescent="0.2">
      <c r="L66" s="597"/>
    </row>
    <row r="67" spans="12:12" x14ac:dyDescent="0.2">
      <c r="L67" s="597"/>
    </row>
  </sheetData>
  <mergeCells count="3">
    <mergeCell ref="I4:L4"/>
    <mergeCell ref="Q4:S4"/>
    <mergeCell ref="U4:W4"/>
  </mergeCells>
  <conditionalFormatting sqref="B6:C6 E6 O6">
    <cfRule type="expression" dxfId="10" priority="3" stopIfTrue="1">
      <formula>MOD(ROW(),2)=0</formula>
    </cfRule>
  </conditionalFormatting>
  <conditionalFormatting sqref="D6:D7">
    <cfRule type="expression" dxfId="9" priority="2" stopIfTrue="1">
      <formula>MOD(ROW(),2)=0</formula>
    </cfRule>
  </conditionalFormatting>
  <conditionalFormatting sqref="F6:G7">
    <cfRule type="expression" dxfId="8" priority="1" stopIfTrue="1">
      <formula>MOD(ROW(),2)=0</formula>
    </cfRule>
  </conditionalFormatting>
  <conditionalFormatting sqref="I6:M54 Q6:S54 U6:W54 B7 B8:G54 O8:O54">
    <cfRule type="expression" dxfId="7" priority="4" stopIfTrue="1">
      <formula>MOD(ROW(),2)=0</formula>
    </cfRule>
  </conditionalFormatting>
  <conditionalFormatting sqref="O57">
    <cfRule type="cellIs" dxfId="6" priority="5" stopIfTrue="1" operator="equal">
      <formula>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3CB8-0B22-4075-AE07-7260CBF8B9C4}">
  <dimension ref="A1:J56"/>
  <sheetViews>
    <sheetView workbookViewId="0">
      <selection activeCell="C43" sqref="C43"/>
    </sheetView>
  </sheetViews>
  <sheetFormatPr defaultColWidth="9.140625" defaultRowHeight="12.75" x14ac:dyDescent="0.2"/>
  <cols>
    <col min="1" max="1" width="4.140625" style="309" bestFit="1" customWidth="1"/>
    <col min="2" max="2" width="9.140625" style="309"/>
    <col min="3" max="3" width="52.140625" style="309" bestFit="1" customWidth="1"/>
    <col min="4" max="4" width="2.140625" style="309" customWidth="1"/>
    <col min="5" max="5" width="9.140625" style="309" customWidth="1"/>
    <col min="6" max="6" width="52.140625" style="309" bestFit="1" customWidth="1"/>
    <col min="7" max="16384" width="9.140625" style="309"/>
  </cols>
  <sheetData>
    <row r="1" spans="1:10" x14ac:dyDescent="0.2">
      <c r="B1" s="353" t="s">
        <v>291</v>
      </c>
      <c r="C1" s="354"/>
      <c r="D1" s="354"/>
      <c r="E1" s="355"/>
      <c r="F1" s="354"/>
    </row>
    <row r="2" spans="1:10" x14ac:dyDescent="0.2">
      <c r="B2" s="356"/>
      <c r="C2" s="354"/>
      <c r="D2" s="354"/>
      <c r="E2" s="355"/>
      <c r="F2" s="354"/>
    </row>
    <row r="3" spans="1:10" x14ac:dyDescent="0.2">
      <c r="B3" s="754" t="s">
        <v>292</v>
      </c>
      <c r="C3" s="755"/>
      <c r="D3" s="354"/>
      <c r="E3" s="754" t="s">
        <v>293</v>
      </c>
      <c r="F3" s="755"/>
    </row>
    <row r="4" spans="1:10" x14ac:dyDescent="0.2">
      <c r="B4" s="357" t="s">
        <v>294</v>
      </c>
      <c r="C4" s="358" t="s">
        <v>295</v>
      </c>
      <c r="D4" s="354"/>
      <c r="E4" s="357" t="s">
        <v>294</v>
      </c>
      <c r="F4" s="358" t="s">
        <v>295</v>
      </c>
    </row>
    <row r="5" spans="1:10" x14ac:dyDescent="0.2">
      <c r="A5" s="346">
        <v>1</v>
      </c>
      <c r="B5" s="359" t="s">
        <v>212</v>
      </c>
      <c r="C5" s="360" t="s">
        <v>296</v>
      </c>
      <c r="D5" s="354"/>
      <c r="E5" s="359" t="s">
        <v>250</v>
      </c>
      <c r="F5" s="361" t="s">
        <v>251</v>
      </c>
    </row>
    <row r="6" spans="1:10" x14ac:dyDescent="0.2">
      <c r="A6" s="346">
        <v>2</v>
      </c>
      <c r="B6" s="359" t="s">
        <v>214</v>
      </c>
      <c r="C6" s="360" t="s">
        <v>297</v>
      </c>
      <c r="D6" s="354"/>
      <c r="E6" s="359" t="s">
        <v>262</v>
      </c>
      <c r="F6" s="361" t="s">
        <v>263</v>
      </c>
      <c r="I6" s="362" t="s">
        <v>298</v>
      </c>
    </row>
    <row r="7" spans="1:10" x14ac:dyDescent="0.2">
      <c r="A7" s="346">
        <v>3</v>
      </c>
      <c r="B7" s="359" t="s">
        <v>216</v>
      </c>
      <c r="C7" s="360" t="s">
        <v>217</v>
      </c>
      <c r="D7" s="354"/>
      <c r="E7" s="359" t="s">
        <v>299</v>
      </c>
      <c r="F7" s="361" t="s">
        <v>300</v>
      </c>
    </row>
    <row r="8" spans="1:10" x14ac:dyDescent="0.2">
      <c r="A8" s="346">
        <v>4</v>
      </c>
      <c r="B8" s="359" t="s">
        <v>218</v>
      </c>
      <c r="C8" s="360" t="s">
        <v>219</v>
      </c>
      <c r="D8" s="354"/>
      <c r="E8" s="359" t="s">
        <v>301</v>
      </c>
      <c r="F8" s="361" t="s">
        <v>302</v>
      </c>
    </row>
    <row r="9" spans="1:10" x14ac:dyDescent="0.2">
      <c r="A9" s="346">
        <v>5</v>
      </c>
      <c r="B9" s="359" t="s">
        <v>220</v>
      </c>
      <c r="C9" s="360" t="s">
        <v>221</v>
      </c>
      <c r="D9" s="354"/>
      <c r="E9" s="359" t="s">
        <v>220</v>
      </c>
      <c r="F9" s="360" t="s">
        <v>221</v>
      </c>
      <c r="I9" s="362" t="s">
        <v>303</v>
      </c>
    </row>
    <row r="10" spans="1:10" x14ac:dyDescent="0.2">
      <c r="A10" s="346">
        <v>6</v>
      </c>
      <c r="B10" s="359" t="s">
        <v>222</v>
      </c>
      <c r="C10" s="361" t="s">
        <v>304</v>
      </c>
      <c r="D10" s="354"/>
      <c r="E10" s="359" t="s">
        <v>248</v>
      </c>
      <c r="F10" s="361" t="s">
        <v>249</v>
      </c>
      <c r="I10" s="362" t="s">
        <v>305</v>
      </c>
    </row>
    <row r="11" spans="1:10" x14ac:dyDescent="0.2">
      <c r="A11" s="346">
        <v>7</v>
      </c>
      <c r="B11" s="359" t="s">
        <v>224</v>
      </c>
      <c r="C11" s="361" t="s">
        <v>306</v>
      </c>
      <c r="D11" s="354"/>
      <c r="E11" s="359" t="s">
        <v>307</v>
      </c>
      <c r="F11" s="361" t="s">
        <v>281</v>
      </c>
      <c r="I11" s="363"/>
      <c r="J11" s="364"/>
    </row>
    <row r="12" spans="1:10" x14ac:dyDescent="0.2">
      <c r="A12" s="346">
        <v>8</v>
      </c>
      <c r="B12" s="359" t="s">
        <v>226</v>
      </c>
      <c r="C12" s="361" t="s">
        <v>227</v>
      </c>
      <c r="D12" s="354"/>
      <c r="E12" s="359" t="s">
        <v>308</v>
      </c>
      <c r="F12" s="361" t="s">
        <v>273</v>
      </c>
    </row>
    <row r="13" spans="1:10" x14ac:dyDescent="0.2">
      <c r="A13" s="346">
        <v>9</v>
      </c>
      <c r="B13" s="359" t="s">
        <v>228</v>
      </c>
      <c r="C13" s="360" t="s">
        <v>229</v>
      </c>
      <c r="D13" s="354"/>
      <c r="E13" s="359" t="s">
        <v>309</v>
      </c>
      <c r="F13" s="361" t="s">
        <v>279</v>
      </c>
      <c r="I13" s="365" t="s">
        <v>310</v>
      </c>
    </row>
    <row r="14" spans="1:10" x14ac:dyDescent="0.2">
      <c r="A14" s="346">
        <v>10</v>
      </c>
      <c r="B14" s="359" t="s">
        <v>230</v>
      </c>
      <c r="C14" s="361" t="s">
        <v>231</v>
      </c>
      <c r="D14" s="354"/>
      <c r="E14" s="359" t="s">
        <v>264</v>
      </c>
      <c r="F14" s="360" t="s">
        <v>265</v>
      </c>
      <c r="I14" s="366" t="s">
        <v>212</v>
      </c>
      <c r="J14" s="367" t="s">
        <v>296</v>
      </c>
    </row>
    <row r="15" spans="1:10" x14ac:dyDescent="0.2">
      <c r="A15" s="346">
        <v>11</v>
      </c>
      <c r="B15" s="359" t="s">
        <v>232</v>
      </c>
      <c r="C15" s="361" t="s">
        <v>311</v>
      </c>
      <c r="D15" s="354"/>
      <c r="E15" s="359" t="s">
        <v>238</v>
      </c>
      <c r="F15" s="360" t="s">
        <v>239</v>
      </c>
      <c r="I15" s="363" t="s">
        <v>214</v>
      </c>
      <c r="J15" s="364" t="s">
        <v>297</v>
      </c>
    </row>
    <row r="16" spans="1:10" x14ac:dyDescent="0.2">
      <c r="A16" s="346">
        <v>12</v>
      </c>
      <c r="B16" s="359" t="s">
        <v>234</v>
      </c>
      <c r="C16" s="368" t="s">
        <v>235</v>
      </c>
      <c r="D16" s="354"/>
      <c r="E16" s="359" t="s">
        <v>246</v>
      </c>
      <c r="F16" s="360" t="s">
        <v>312</v>
      </c>
      <c r="I16" s="369">
        <v>3362</v>
      </c>
      <c r="J16" s="370" t="s">
        <v>313</v>
      </c>
    </row>
    <row r="17" spans="1:9" x14ac:dyDescent="0.2">
      <c r="A17" s="346">
        <v>13</v>
      </c>
      <c r="B17" s="310">
        <v>3362</v>
      </c>
      <c r="C17" s="309" t="s">
        <v>314</v>
      </c>
      <c r="D17" s="354"/>
      <c r="E17" s="359" t="s">
        <v>234</v>
      </c>
      <c r="F17" s="368" t="s">
        <v>235</v>
      </c>
    </row>
    <row r="18" spans="1:9" x14ac:dyDescent="0.2">
      <c r="A18" s="346">
        <v>14</v>
      </c>
      <c r="B18" s="359" t="s">
        <v>236</v>
      </c>
      <c r="C18" s="360" t="s">
        <v>237</v>
      </c>
      <c r="D18" s="354"/>
      <c r="E18" s="359" t="s">
        <v>236</v>
      </c>
      <c r="F18" s="360" t="s">
        <v>237</v>
      </c>
    </row>
    <row r="19" spans="1:9" x14ac:dyDescent="0.2">
      <c r="A19" s="346">
        <v>15</v>
      </c>
      <c r="B19" s="359" t="s">
        <v>238</v>
      </c>
      <c r="C19" s="360" t="s">
        <v>239</v>
      </c>
      <c r="D19" s="354"/>
      <c r="E19" s="359" t="s">
        <v>216</v>
      </c>
      <c r="F19" s="360" t="s">
        <v>217</v>
      </c>
    </row>
    <row r="20" spans="1:9" x14ac:dyDescent="0.2">
      <c r="A20" s="346">
        <v>16</v>
      </c>
      <c r="B20" s="359" t="s">
        <v>240</v>
      </c>
      <c r="C20" s="360" t="s">
        <v>241</v>
      </c>
      <c r="D20" s="354"/>
      <c r="E20" s="359" t="s">
        <v>242</v>
      </c>
      <c r="F20" s="360" t="s">
        <v>243</v>
      </c>
    </row>
    <row r="21" spans="1:9" x14ac:dyDescent="0.2">
      <c r="A21" s="346">
        <v>17</v>
      </c>
      <c r="B21" s="359" t="s">
        <v>242</v>
      </c>
      <c r="C21" s="360" t="s">
        <v>243</v>
      </c>
      <c r="D21" s="354"/>
      <c r="E21" s="359" t="s">
        <v>315</v>
      </c>
      <c r="F21" s="371" t="s">
        <v>274</v>
      </c>
    </row>
    <row r="22" spans="1:9" x14ac:dyDescent="0.2">
      <c r="A22" s="346">
        <v>18</v>
      </c>
      <c r="B22" s="359" t="s">
        <v>244</v>
      </c>
      <c r="C22" s="361" t="s">
        <v>316</v>
      </c>
      <c r="D22" s="354"/>
      <c r="E22" s="359" t="s">
        <v>226</v>
      </c>
      <c r="F22" s="361" t="s">
        <v>227</v>
      </c>
    </row>
    <row r="23" spans="1:9" x14ac:dyDescent="0.2">
      <c r="A23" s="346">
        <v>19</v>
      </c>
      <c r="B23" s="359" t="s">
        <v>246</v>
      </c>
      <c r="C23" s="360" t="s">
        <v>312</v>
      </c>
      <c r="D23" s="354"/>
      <c r="E23" s="359" t="s">
        <v>317</v>
      </c>
      <c r="F23" s="371" t="s">
        <v>261</v>
      </c>
    </row>
    <row r="24" spans="1:9" x14ac:dyDescent="0.2">
      <c r="A24" s="346">
        <v>20</v>
      </c>
      <c r="B24" s="359" t="s">
        <v>248</v>
      </c>
      <c r="C24" s="361" t="s">
        <v>249</v>
      </c>
      <c r="D24" s="354"/>
      <c r="E24" s="359" t="s">
        <v>266</v>
      </c>
      <c r="F24" s="360" t="s">
        <v>267</v>
      </c>
    </row>
    <row r="25" spans="1:9" x14ac:dyDescent="0.2">
      <c r="A25" s="346">
        <v>21</v>
      </c>
      <c r="B25" s="359" t="s">
        <v>250</v>
      </c>
      <c r="C25" s="361" t="s">
        <v>251</v>
      </c>
      <c r="D25" s="354"/>
      <c r="E25" s="359" t="s">
        <v>212</v>
      </c>
      <c r="F25" s="360" t="s">
        <v>296</v>
      </c>
    </row>
    <row r="26" spans="1:9" x14ac:dyDescent="0.2">
      <c r="A26" s="346">
        <v>22</v>
      </c>
      <c r="B26" s="359" t="s">
        <v>252</v>
      </c>
      <c r="C26" s="360" t="s">
        <v>253</v>
      </c>
      <c r="D26" s="354"/>
      <c r="E26" s="359" t="s">
        <v>230</v>
      </c>
      <c r="F26" s="361" t="s">
        <v>231</v>
      </c>
    </row>
    <row r="27" spans="1:9" x14ac:dyDescent="0.2">
      <c r="A27" s="346">
        <v>23</v>
      </c>
      <c r="B27" s="359" t="s">
        <v>254</v>
      </c>
      <c r="C27" s="361" t="s">
        <v>255</v>
      </c>
      <c r="D27" s="354"/>
      <c r="E27" s="359" t="s">
        <v>222</v>
      </c>
      <c r="F27" s="361" t="s">
        <v>318</v>
      </c>
    </row>
    <row r="28" spans="1:9" x14ac:dyDescent="0.2">
      <c r="A28" s="346">
        <v>24</v>
      </c>
      <c r="B28" s="372" t="s">
        <v>256</v>
      </c>
      <c r="C28" s="361" t="s">
        <v>257</v>
      </c>
      <c r="D28" s="354"/>
      <c r="E28" s="359" t="s">
        <v>252</v>
      </c>
      <c r="F28" s="360" t="s">
        <v>253</v>
      </c>
    </row>
    <row r="29" spans="1:9" x14ac:dyDescent="0.2">
      <c r="A29" s="346">
        <v>25</v>
      </c>
      <c r="B29" s="359" t="s">
        <v>258</v>
      </c>
      <c r="C29" s="360" t="s">
        <v>259</v>
      </c>
      <c r="D29" s="354"/>
      <c r="E29" s="359" t="s">
        <v>319</v>
      </c>
      <c r="F29" s="361" t="s">
        <v>278</v>
      </c>
      <c r="I29" s="313"/>
    </row>
    <row r="30" spans="1:9" x14ac:dyDescent="0.2">
      <c r="A30" s="346">
        <v>26</v>
      </c>
      <c r="B30" s="359" t="s">
        <v>320</v>
      </c>
      <c r="C30" s="361" t="s">
        <v>321</v>
      </c>
      <c r="D30" s="354"/>
      <c r="E30" s="359" t="s">
        <v>322</v>
      </c>
      <c r="F30" s="361" t="s">
        <v>277</v>
      </c>
      <c r="I30" s="313"/>
    </row>
    <row r="31" spans="1:9" x14ac:dyDescent="0.2">
      <c r="A31" s="346">
        <v>27</v>
      </c>
      <c r="B31" s="359" t="s">
        <v>317</v>
      </c>
      <c r="C31" s="371" t="s">
        <v>261</v>
      </c>
      <c r="D31" s="354"/>
      <c r="E31" s="359" t="s">
        <v>323</v>
      </c>
      <c r="F31" s="361" t="s">
        <v>270</v>
      </c>
    </row>
    <row r="32" spans="1:9" x14ac:dyDescent="0.2">
      <c r="A32" s="346">
        <v>28</v>
      </c>
      <c r="B32" s="359" t="s">
        <v>262</v>
      </c>
      <c r="C32" s="361" t="s">
        <v>263</v>
      </c>
      <c r="D32" s="354"/>
      <c r="E32" s="359" t="s">
        <v>268</v>
      </c>
      <c r="F32" s="360" t="s">
        <v>269</v>
      </c>
    </row>
    <row r="33" spans="1:6" x14ac:dyDescent="0.2">
      <c r="A33" s="346">
        <v>29</v>
      </c>
      <c r="B33" s="359" t="s">
        <v>264</v>
      </c>
      <c r="C33" s="360" t="s">
        <v>265</v>
      </c>
      <c r="D33" s="354"/>
      <c r="E33" s="359" t="s">
        <v>258</v>
      </c>
      <c r="F33" s="360" t="s">
        <v>259</v>
      </c>
    </row>
    <row r="34" spans="1:6" x14ac:dyDescent="0.2">
      <c r="A34" s="346">
        <v>30</v>
      </c>
      <c r="B34" s="359" t="s">
        <v>266</v>
      </c>
      <c r="C34" s="360" t="s">
        <v>267</v>
      </c>
      <c r="D34" s="354"/>
      <c r="E34" s="359" t="s">
        <v>240</v>
      </c>
      <c r="F34" s="360" t="s">
        <v>241</v>
      </c>
    </row>
    <row r="35" spans="1:6" x14ac:dyDescent="0.2">
      <c r="A35" s="346">
        <v>31</v>
      </c>
      <c r="B35" s="359" t="s">
        <v>268</v>
      </c>
      <c r="C35" s="360" t="s">
        <v>269</v>
      </c>
      <c r="D35" s="354"/>
      <c r="E35" s="359">
        <v>4111</v>
      </c>
      <c r="F35" s="360" t="s">
        <v>287</v>
      </c>
    </row>
    <row r="36" spans="1:6" x14ac:dyDescent="0.2">
      <c r="A36" s="346">
        <v>32</v>
      </c>
      <c r="B36" s="359" t="s">
        <v>323</v>
      </c>
      <c r="C36" s="361" t="s">
        <v>270</v>
      </c>
      <c r="D36" s="354"/>
      <c r="E36" s="359">
        <v>3362</v>
      </c>
      <c r="F36" s="360" t="s">
        <v>314</v>
      </c>
    </row>
    <row r="37" spans="1:6" x14ac:dyDescent="0.2">
      <c r="A37" s="346">
        <v>33</v>
      </c>
      <c r="B37" s="359" t="s">
        <v>324</v>
      </c>
      <c r="C37" s="371" t="s">
        <v>271</v>
      </c>
      <c r="D37" s="354"/>
      <c r="E37" s="359" t="s">
        <v>254</v>
      </c>
      <c r="F37" s="361" t="s">
        <v>255</v>
      </c>
    </row>
    <row r="38" spans="1:6" x14ac:dyDescent="0.2">
      <c r="A38" s="346">
        <v>34</v>
      </c>
      <c r="B38" s="359" t="s">
        <v>325</v>
      </c>
      <c r="C38" s="360" t="s">
        <v>272</v>
      </c>
      <c r="D38" s="354"/>
      <c r="E38" s="359" t="s">
        <v>326</v>
      </c>
      <c r="F38" s="361" t="s">
        <v>276</v>
      </c>
    </row>
    <row r="39" spans="1:6" x14ac:dyDescent="0.2">
      <c r="A39" s="346">
        <v>35</v>
      </c>
      <c r="B39" s="359" t="s">
        <v>308</v>
      </c>
      <c r="C39" s="361" t="s">
        <v>273</v>
      </c>
      <c r="D39" s="354"/>
      <c r="E39" s="359" t="s">
        <v>325</v>
      </c>
      <c r="F39" s="360" t="s">
        <v>272</v>
      </c>
    </row>
    <row r="40" spans="1:6" x14ac:dyDescent="0.2">
      <c r="A40" s="346">
        <v>36</v>
      </c>
      <c r="B40" s="359" t="s">
        <v>315</v>
      </c>
      <c r="C40" s="360" t="s">
        <v>274</v>
      </c>
      <c r="D40" s="354"/>
      <c r="E40" s="359" t="s">
        <v>324</v>
      </c>
      <c r="F40" s="371" t="s">
        <v>271</v>
      </c>
    </row>
    <row r="41" spans="1:6" x14ac:dyDescent="0.2">
      <c r="A41" s="346">
        <v>37</v>
      </c>
      <c r="B41" s="359">
        <v>4031</v>
      </c>
      <c r="C41" s="361" t="s">
        <v>275</v>
      </c>
      <c r="D41" s="354"/>
      <c r="E41" s="359" t="s">
        <v>244</v>
      </c>
      <c r="F41" s="360" t="s">
        <v>316</v>
      </c>
    </row>
    <row r="42" spans="1:6" x14ac:dyDescent="0.2">
      <c r="A42" s="346">
        <v>38</v>
      </c>
      <c r="B42" s="359" t="s">
        <v>326</v>
      </c>
      <c r="C42" s="361" t="s">
        <v>276</v>
      </c>
      <c r="D42" s="354"/>
      <c r="E42" s="359">
        <v>4091</v>
      </c>
      <c r="F42" s="360" t="s">
        <v>283</v>
      </c>
    </row>
    <row r="43" spans="1:6" x14ac:dyDescent="0.2">
      <c r="A43" s="346">
        <v>39</v>
      </c>
      <c r="B43" s="359" t="s">
        <v>322</v>
      </c>
      <c r="C43" s="361" t="s">
        <v>277</v>
      </c>
      <c r="D43" s="354"/>
      <c r="E43" s="359">
        <v>4031</v>
      </c>
      <c r="F43" s="361" t="s">
        <v>275</v>
      </c>
    </row>
    <row r="44" spans="1:6" x14ac:dyDescent="0.2">
      <c r="A44" s="346">
        <v>40</v>
      </c>
      <c r="B44" s="359" t="s">
        <v>319</v>
      </c>
      <c r="C44" s="361" t="s">
        <v>278</v>
      </c>
      <c r="D44" s="354"/>
      <c r="E44" s="372" t="s">
        <v>327</v>
      </c>
      <c r="F44" s="361" t="s">
        <v>288</v>
      </c>
    </row>
    <row r="45" spans="1:6" x14ac:dyDescent="0.2">
      <c r="A45" s="346">
        <v>41</v>
      </c>
      <c r="B45" s="359" t="s">
        <v>309</v>
      </c>
      <c r="C45" s="361" t="s">
        <v>279</v>
      </c>
      <c r="D45" s="354"/>
      <c r="E45" s="359" t="s">
        <v>218</v>
      </c>
      <c r="F45" s="360" t="s">
        <v>219</v>
      </c>
    </row>
    <row r="46" spans="1:6" x14ac:dyDescent="0.2">
      <c r="A46" s="346">
        <v>42</v>
      </c>
      <c r="B46" s="359" t="s">
        <v>328</v>
      </c>
      <c r="C46" s="361" t="s">
        <v>329</v>
      </c>
      <c r="D46" s="354"/>
      <c r="E46" s="359" t="s">
        <v>320</v>
      </c>
      <c r="F46" s="361" t="s">
        <v>321</v>
      </c>
    </row>
    <row r="47" spans="1:6" x14ac:dyDescent="0.2">
      <c r="A47" s="346">
        <v>43</v>
      </c>
      <c r="B47" s="373" t="s">
        <v>307</v>
      </c>
      <c r="C47" s="309" t="s">
        <v>281</v>
      </c>
      <c r="D47" s="354"/>
      <c r="E47" s="359">
        <v>4090</v>
      </c>
      <c r="F47" s="360" t="s">
        <v>330</v>
      </c>
    </row>
    <row r="48" spans="1:6" x14ac:dyDescent="0.2">
      <c r="A48" s="346">
        <v>44</v>
      </c>
      <c r="B48" s="373">
        <v>4090</v>
      </c>
      <c r="C48" s="309" t="s">
        <v>330</v>
      </c>
      <c r="D48" s="354"/>
      <c r="E48" s="359" t="s">
        <v>331</v>
      </c>
      <c r="F48" s="360" t="s">
        <v>332</v>
      </c>
    </row>
    <row r="49" spans="1:6" x14ac:dyDescent="0.2">
      <c r="A49" s="346">
        <v>45</v>
      </c>
      <c r="B49" s="373">
        <v>4091</v>
      </c>
      <c r="C49" s="309" t="s">
        <v>283</v>
      </c>
      <c r="D49" s="354"/>
      <c r="E49" s="359" t="s">
        <v>232</v>
      </c>
      <c r="F49" s="361" t="s">
        <v>311</v>
      </c>
    </row>
    <row r="50" spans="1:6" x14ac:dyDescent="0.2">
      <c r="A50" s="346">
        <v>46</v>
      </c>
      <c r="B50" s="359" t="s">
        <v>301</v>
      </c>
      <c r="C50" s="361" t="s">
        <v>302</v>
      </c>
      <c r="D50" s="354"/>
      <c r="E50" s="359" t="s">
        <v>214</v>
      </c>
      <c r="F50" s="360" t="s">
        <v>333</v>
      </c>
    </row>
    <row r="51" spans="1:6" x14ac:dyDescent="0.2">
      <c r="A51" s="346">
        <v>47</v>
      </c>
      <c r="B51" s="359" t="s">
        <v>299</v>
      </c>
      <c r="C51" s="361" t="s">
        <v>300</v>
      </c>
      <c r="D51" s="354"/>
      <c r="E51" s="359" t="s">
        <v>224</v>
      </c>
      <c r="F51" s="361" t="s">
        <v>306</v>
      </c>
    </row>
    <row r="52" spans="1:6" x14ac:dyDescent="0.2">
      <c r="A52" s="346">
        <v>48</v>
      </c>
      <c r="B52" s="359" t="s">
        <v>331</v>
      </c>
      <c r="C52" s="374" t="s">
        <v>332</v>
      </c>
      <c r="D52" s="354"/>
      <c r="E52" s="359" t="s">
        <v>328</v>
      </c>
      <c r="F52" s="361" t="s">
        <v>329</v>
      </c>
    </row>
    <row r="53" spans="1:6" x14ac:dyDescent="0.2">
      <c r="A53" s="346">
        <v>49</v>
      </c>
      <c r="B53" s="359">
        <v>4111</v>
      </c>
      <c r="C53" s="361" t="s">
        <v>287</v>
      </c>
      <c r="D53" s="354"/>
      <c r="E53" s="359" t="s">
        <v>228</v>
      </c>
      <c r="F53" s="360" t="s">
        <v>229</v>
      </c>
    </row>
    <row r="54" spans="1:6" x14ac:dyDescent="0.2">
      <c r="A54" s="346">
        <v>50</v>
      </c>
      <c r="B54" s="359" t="s">
        <v>327</v>
      </c>
      <c r="C54" s="361" t="s">
        <v>288</v>
      </c>
      <c r="D54" s="354"/>
      <c r="E54" s="372" t="s">
        <v>256</v>
      </c>
      <c r="F54" s="361" t="s">
        <v>257</v>
      </c>
    </row>
    <row r="55" spans="1:6" x14ac:dyDescent="0.2">
      <c r="A55" s="346"/>
      <c r="D55" s="354"/>
    </row>
    <row r="56" spans="1:6" x14ac:dyDescent="0.2">
      <c r="D56" s="354"/>
    </row>
  </sheetData>
  <mergeCells count="2">
    <mergeCell ref="B3:C3"/>
    <mergeCell ref="E3:F3"/>
  </mergeCells>
  <conditionalFormatting sqref="B5:C16 B18:C54">
    <cfRule type="expression" dxfId="5" priority="7" stopIfTrue="1">
      <formula>MOD(ROW(),2)=0</formula>
    </cfRule>
  </conditionalFormatting>
  <conditionalFormatting sqref="E5:F24">
    <cfRule type="expression" dxfId="4" priority="6">
      <formula>MOD(ROW(),2)=0</formula>
    </cfRule>
  </conditionalFormatting>
  <conditionalFormatting sqref="E25:F25">
    <cfRule type="expression" dxfId="3" priority="5" stopIfTrue="1">
      <formula>MOD(ROW(),2)=0</formula>
    </cfRule>
  </conditionalFormatting>
  <conditionalFormatting sqref="E26:F54">
    <cfRule type="expression" dxfId="2" priority="1">
      <formula>MOD(ROW(),2)=0</formula>
    </cfRule>
  </conditionalFormatting>
  <conditionalFormatting sqref="I11:J11">
    <cfRule type="expression" dxfId="1" priority="2" stopIfTrue="1">
      <formula>MOD(ROW(),2)=0</formula>
    </cfRule>
  </conditionalFormatting>
  <conditionalFormatting sqref="I15:J15">
    <cfRule type="expression" dxfId="0" priority="3" stopIfTrue="1">
      <formula>MOD(ROW(),2)=0</formula>
    </cfRule>
  </conditionalFormatting>
  <pageMargins left="0.7" right="0.7" top="0.75" bottom="0.75" header="0.3" footer="0.3"/>
  <pageSetup orientation="portrait"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8B8-2729-432C-8529-62A97B1A604B}">
  <dimension ref="A1:Z180"/>
  <sheetViews>
    <sheetView topLeftCell="A140" workbookViewId="0">
      <selection activeCell="I159" sqref="I159"/>
    </sheetView>
  </sheetViews>
  <sheetFormatPr defaultColWidth="9.140625" defaultRowHeight="15.75" x14ac:dyDescent="0.25"/>
  <cols>
    <col min="1" max="1" width="10.28515625" style="424" customWidth="1"/>
    <col min="2" max="2" width="30.28515625" style="376" bestFit="1" customWidth="1"/>
    <col min="3" max="3" width="14" style="376" customWidth="1"/>
    <col min="4" max="4" width="11.5703125" style="376" customWidth="1"/>
    <col min="5" max="5" width="14" style="376" customWidth="1"/>
    <col min="6" max="6" width="18.140625" style="376" customWidth="1"/>
    <col min="7" max="7" width="7.42578125" style="376" customWidth="1"/>
    <col min="8" max="8" width="15.7109375" style="376" customWidth="1"/>
    <col min="9" max="9" width="23.7109375" style="376" customWidth="1"/>
    <col min="10" max="10" width="12.7109375" style="376" bestFit="1" customWidth="1"/>
    <col min="11" max="11" width="16.85546875" style="376" bestFit="1" customWidth="1"/>
    <col min="12" max="12" width="15.7109375" style="376" bestFit="1" customWidth="1"/>
    <col min="13" max="16384" width="9.140625" style="376"/>
  </cols>
  <sheetData>
    <row r="1" spans="1:9" ht="16.5" thickBot="1" x14ac:dyDescent="0.3">
      <c r="A1" s="375"/>
      <c r="B1" s="806" t="s">
        <v>0</v>
      </c>
      <c r="C1" s="807"/>
      <c r="D1" s="807"/>
      <c r="E1" s="807"/>
      <c r="F1" s="807"/>
      <c r="G1" s="807"/>
      <c r="H1" s="807"/>
      <c r="I1" s="807"/>
    </row>
    <row r="2" spans="1:9" ht="21" x14ac:dyDescent="0.35">
      <c r="A2" s="377" t="s">
        <v>334</v>
      </c>
      <c r="B2" s="378"/>
      <c r="C2" s="378"/>
      <c r="D2" s="378"/>
      <c r="E2" s="378"/>
      <c r="F2" s="378"/>
      <c r="G2" s="378"/>
      <c r="H2" s="378"/>
      <c r="I2" s="378"/>
    </row>
    <row r="3" spans="1:9" x14ac:dyDescent="0.25">
      <c r="A3" s="379" t="str">
        <f>'[2]1461'!A3</f>
        <v>Based on the FLDOE 2025-26 FEFP Calculation</v>
      </c>
    </row>
    <row r="4" spans="1:9" x14ac:dyDescent="0.25">
      <c r="A4" s="808" t="s">
        <v>2</v>
      </c>
      <c r="B4" s="808"/>
      <c r="C4" s="809" t="s">
        <v>183</v>
      </c>
      <c r="D4" s="809"/>
      <c r="E4" s="809"/>
      <c r="F4" s="380" t="s">
        <v>184</v>
      </c>
      <c r="G4" s="381"/>
      <c r="H4" s="381"/>
      <c r="I4" s="381"/>
    </row>
    <row r="5" spans="1:9" ht="12" customHeight="1" thickBot="1" x14ac:dyDescent="0.3">
      <c r="A5" s="382"/>
      <c r="B5" s="382"/>
      <c r="C5" s="383"/>
      <c r="D5" s="383"/>
      <c r="E5" s="383"/>
      <c r="F5" s="384"/>
      <c r="G5" s="384"/>
      <c r="H5" s="384"/>
      <c r="I5" s="384"/>
    </row>
    <row r="6" spans="1:9" ht="12" customHeight="1" x14ac:dyDescent="0.25">
      <c r="A6" s="385"/>
      <c r="B6" s="385"/>
      <c r="C6" s="386"/>
      <c r="D6" s="386"/>
      <c r="E6" s="386"/>
      <c r="F6" s="381"/>
      <c r="G6" s="381"/>
      <c r="H6" s="381"/>
      <c r="I6" s="381"/>
    </row>
    <row r="7" spans="1:9" x14ac:dyDescent="0.25">
      <c r="A7" s="376" t="s">
        <v>3</v>
      </c>
      <c r="B7" s="741"/>
      <c r="C7" s="741"/>
      <c r="D7" s="741"/>
      <c r="E7" s="741"/>
      <c r="F7" s="741"/>
      <c r="G7" s="741"/>
      <c r="H7" s="741"/>
      <c r="I7" s="741"/>
    </row>
    <row r="8" spans="1:9" x14ac:dyDescent="0.25">
      <c r="A8" s="387"/>
      <c r="B8" s="388" t="s">
        <v>335</v>
      </c>
      <c r="C8" s="389">
        <f>'[2]1461'!C8</f>
        <v>5372.6</v>
      </c>
      <c r="D8" s="390"/>
      <c r="E8" s="391"/>
      <c r="F8" s="387"/>
      <c r="G8" s="388" t="s">
        <v>336</v>
      </c>
      <c r="H8" s="392">
        <f>'[2]1461'!H8</f>
        <v>1.0355000000000001</v>
      </c>
      <c r="I8" s="393"/>
    </row>
    <row r="9" spans="1:9" x14ac:dyDescent="0.25">
      <c r="A9" s="387"/>
      <c r="B9" s="388"/>
      <c r="C9" s="389"/>
      <c r="D9" s="390"/>
      <c r="E9" s="391"/>
      <c r="F9" s="387"/>
      <c r="G9" s="388" t="s">
        <v>337</v>
      </c>
      <c r="H9" s="392">
        <f>'[2]1461'!H9</f>
        <v>1</v>
      </c>
      <c r="I9" s="393"/>
    </row>
    <row r="10" spans="1:9" x14ac:dyDescent="0.25">
      <c r="A10" s="394"/>
      <c r="B10" s="394"/>
      <c r="C10" s="395"/>
      <c r="D10" s="395"/>
      <c r="E10" s="395"/>
      <c r="F10" s="396"/>
      <c r="G10" s="396"/>
      <c r="H10" s="397"/>
      <c r="I10" s="398" t="str">
        <f>'[2]1461'!I10</f>
        <v>2025-26</v>
      </c>
    </row>
    <row r="11" spans="1:9" x14ac:dyDescent="0.25">
      <c r="A11" s="394"/>
      <c r="B11" s="394"/>
      <c r="C11" s="399" t="str">
        <f>'[2]1461'!C11</f>
        <v>Oct 2024</v>
      </c>
      <c r="D11" s="399" t="str">
        <f>'[2]1461'!D11</f>
        <v>Feb 2025</v>
      </c>
      <c r="E11" s="400" t="s">
        <v>125</v>
      </c>
      <c r="F11" s="810" t="s">
        <v>8</v>
      </c>
      <c r="G11" s="810"/>
      <c r="H11" s="397" t="s">
        <v>9</v>
      </c>
      <c r="I11" s="401" t="s">
        <v>10</v>
      </c>
    </row>
    <row r="12" spans="1:9" x14ac:dyDescent="0.25">
      <c r="A12" s="800" t="s">
        <v>8</v>
      </c>
      <c r="B12" s="800"/>
      <c r="C12" s="402" t="str">
        <f>'[2]1461'!C12</f>
        <v>FTE</v>
      </c>
      <c r="D12" s="402" t="str">
        <f>'[2]1461'!D12</f>
        <v>FTE</v>
      </c>
      <c r="E12" s="403" t="s">
        <v>54</v>
      </c>
      <c r="F12" s="811" t="s">
        <v>12</v>
      </c>
      <c r="G12" s="811"/>
      <c r="H12" s="404" t="s">
        <v>13</v>
      </c>
      <c r="I12" s="405" t="s">
        <v>14</v>
      </c>
    </row>
    <row r="13" spans="1:9" x14ac:dyDescent="0.25">
      <c r="A13" s="804" t="s">
        <v>15</v>
      </c>
      <c r="B13" s="804"/>
      <c r="C13" s="406"/>
      <c r="D13" s="406"/>
      <c r="E13" s="407" t="s">
        <v>16</v>
      </c>
      <c r="F13" s="805" t="s">
        <v>17</v>
      </c>
      <c r="G13" s="805"/>
      <c r="H13" s="408" t="s">
        <v>18</v>
      </c>
      <c r="I13" s="409" t="s">
        <v>19</v>
      </c>
    </row>
    <row r="14" spans="1:9" x14ac:dyDescent="0.25">
      <c r="A14" s="801" t="s">
        <v>20</v>
      </c>
      <c r="B14" s="801"/>
      <c r="C14" s="410">
        <f>SUM('0040:4131'!C12)</f>
        <v>2060.0200000000004</v>
      </c>
      <c r="D14" s="410">
        <f>SUM('0040:4131'!D12)</f>
        <v>0</v>
      </c>
      <c r="E14" s="417">
        <f>SUM('0040:4131'!E12)</f>
        <v>4120.0400000000009</v>
      </c>
      <c r="F14" s="798">
        <f>'1461'!G12:G12</f>
        <v>1.1080000000000001</v>
      </c>
      <c r="G14" s="798"/>
      <c r="H14" s="412">
        <f>SUM('0040:4131'!I12)</f>
        <v>4565.0043000000005</v>
      </c>
      <c r="I14" s="589">
        <f>SUM('0040:4131'!J12)</f>
        <v>25396613.029999997</v>
      </c>
    </row>
    <row r="15" spans="1:9" x14ac:dyDescent="0.25">
      <c r="A15" s="778" t="s">
        <v>21</v>
      </c>
      <c r="B15" s="778"/>
      <c r="C15" s="414">
        <f>SUM('0040:4131'!C13)</f>
        <v>288</v>
      </c>
      <c r="D15" s="414">
        <f>SUM('0040:4131'!D13)</f>
        <v>0</v>
      </c>
      <c r="E15" s="411">
        <f>SUM('0040:4131'!E13)</f>
        <v>576</v>
      </c>
      <c r="F15" s="798">
        <f>'1461'!G13:G13</f>
        <v>1.1080000000000001</v>
      </c>
      <c r="G15" s="798"/>
      <c r="H15" s="412">
        <f>SUM('0040:4131'!I13)</f>
        <v>638.20799999999997</v>
      </c>
      <c r="I15" s="589">
        <f>SUM('0040:4131'!J13)</f>
        <v>3550560.02</v>
      </c>
    </row>
    <row r="16" spans="1:9" x14ac:dyDescent="0.25">
      <c r="A16" s="778" t="s">
        <v>22</v>
      </c>
      <c r="B16" s="778"/>
      <c r="C16" s="414">
        <f>SUM('0040:4131'!C14)</f>
        <v>3225.2799999999997</v>
      </c>
      <c r="D16" s="414">
        <f>SUM('0040:4131'!D14)</f>
        <v>0</v>
      </c>
      <c r="E16" s="411">
        <f>SUM('0040:4131'!E14)</f>
        <v>6450.5599999999995</v>
      </c>
      <c r="F16" s="798">
        <f>'1461'!G14:G14</f>
        <v>1</v>
      </c>
      <c r="G16" s="798"/>
      <c r="H16" s="412">
        <f>SUM('0040:4131'!I14)</f>
        <v>6450.5599999999995</v>
      </c>
      <c r="I16" s="589">
        <f>SUM('0040:4131'!J14)</f>
        <v>35886576.550000004</v>
      </c>
    </row>
    <row r="17" spans="1:9" x14ac:dyDescent="0.25">
      <c r="A17" s="778" t="s">
        <v>23</v>
      </c>
      <c r="B17" s="778"/>
      <c r="C17" s="414">
        <f>SUM('0040:4131'!C15)</f>
        <v>580.06000000000006</v>
      </c>
      <c r="D17" s="414">
        <f>SUM('0040:4131'!D15)</f>
        <v>0</v>
      </c>
      <c r="E17" s="411">
        <f>SUM('0040:4131'!E15)</f>
        <v>1160.1200000000001</v>
      </c>
      <c r="F17" s="798">
        <f>'1461'!G15:G15</f>
        <v>1</v>
      </c>
      <c r="G17" s="798"/>
      <c r="H17" s="412">
        <f>SUM('0040:4131'!I15)</f>
        <v>1160.1200000000001</v>
      </c>
      <c r="I17" s="589">
        <f>SUM('0040:4131'!J15)</f>
        <v>6454127.2699999996</v>
      </c>
    </row>
    <row r="18" spans="1:9" x14ac:dyDescent="0.25">
      <c r="A18" s="778" t="s">
        <v>24</v>
      </c>
      <c r="B18" s="778"/>
      <c r="C18" s="414">
        <f>SUM('0040:4131'!C16)</f>
        <v>2242.3000000000002</v>
      </c>
      <c r="D18" s="414">
        <f>SUM('0040:4131'!D16)</f>
        <v>0</v>
      </c>
      <c r="E18" s="411">
        <f>SUM('0040:4131'!E16)</f>
        <v>4484.6000000000004</v>
      </c>
      <c r="F18" s="798">
        <f>'1461'!G16:G16</f>
        <v>0.97199999999999998</v>
      </c>
      <c r="G18" s="798"/>
      <c r="H18" s="412">
        <f>SUM('0040:4131'!I16)</f>
        <v>4359.0312999999996</v>
      </c>
      <c r="I18" s="589">
        <f>SUM('0040:4131'!J16)</f>
        <v>24250717.82</v>
      </c>
    </row>
    <row r="19" spans="1:9" x14ac:dyDescent="0.25">
      <c r="A19" s="778" t="s">
        <v>25</v>
      </c>
      <c r="B19" s="778"/>
      <c r="C19" s="414">
        <f>SUM('0040:4131'!C17)</f>
        <v>626.9899999999999</v>
      </c>
      <c r="D19" s="414">
        <f>SUM('0040:4131'!D17)</f>
        <v>0</v>
      </c>
      <c r="E19" s="411">
        <f>SUM('0040:4131'!E17)</f>
        <v>1253.9799999999998</v>
      </c>
      <c r="F19" s="798">
        <f>'1461'!G17:G17</f>
        <v>0.97199999999999998</v>
      </c>
      <c r="G19" s="798"/>
      <c r="H19" s="412">
        <f>SUM('0040:4131'!I17)</f>
        <v>1218.8685999999998</v>
      </c>
      <c r="I19" s="589">
        <f>SUM('0040:4131'!J17)</f>
        <v>6780964.9899999984</v>
      </c>
    </row>
    <row r="20" spans="1:9" x14ac:dyDescent="0.25">
      <c r="A20" s="778" t="s">
        <v>338</v>
      </c>
      <c r="B20" s="778"/>
      <c r="C20" s="414">
        <f>SUM('0040:4131'!C18)</f>
        <v>91.5</v>
      </c>
      <c r="D20" s="414">
        <f>SUM('0040:4131'!D18)</f>
        <v>0</v>
      </c>
      <c r="E20" s="411">
        <f>SUM('0040:4131'!E18)</f>
        <v>183</v>
      </c>
      <c r="F20" s="798">
        <f>'1461'!G18:G18</f>
        <v>3.609</v>
      </c>
      <c r="G20" s="798"/>
      <c r="H20" s="412">
        <f>SUM('0040:4131'!I18)</f>
        <v>660.447</v>
      </c>
      <c r="I20" s="589">
        <f>SUM('0040:4131'!J18)</f>
        <v>3674282.83</v>
      </c>
    </row>
    <row r="21" spans="1:9" x14ac:dyDescent="0.25">
      <c r="A21" s="778" t="s">
        <v>339</v>
      </c>
      <c r="B21" s="778"/>
      <c r="C21" s="414">
        <f>SUM('0040:4131'!C19)</f>
        <v>79</v>
      </c>
      <c r="D21" s="414">
        <f>SUM('0040:4131'!D19)</f>
        <v>0</v>
      </c>
      <c r="E21" s="411">
        <f>SUM('0040:4131'!E19)</f>
        <v>158</v>
      </c>
      <c r="F21" s="798">
        <f>'1461'!G19:G19</f>
        <v>3.609</v>
      </c>
      <c r="G21" s="798"/>
      <c r="H21" s="412">
        <f>SUM('0040:4131'!I19)</f>
        <v>570.22199999999998</v>
      </c>
      <c r="I21" s="589">
        <f>SUM('0040:4131'!J19)</f>
        <v>3172331.63</v>
      </c>
    </row>
    <row r="22" spans="1:9" x14ac:dyDescent="0.25">
      <c r="A22" s="778" t="s">
        <v>340</v>
      </c>
      <c r="B22" s="778"/>
      <c r="C22" s="414">
        <f>SUM('0040:4131'!C20)</f>
        <v>57.93</v>
      </c>
      <c r="D22" s="414">
        <f>SUM('0040:4131'!D20)</f>
        <v>0</v>
      </c>
      <c r="E22" s="411">
        <f>SUM('0040:4131'!E20)</f>
        <v>115.86</v>
      </c>
      <c r="F22" s="798">
        <f>'1461'!G20:G20</f>
        <v>3.609</v>
      </c>
      <c r="G22" s="798"/>
      <c r="H22" s="412">
        <f>SUM('0040:4131'!I20)</f>
        <v>418.13870000000003</v>
      </c>
      <c r="I22" s="589">
        <f>SUM('0040:4131'!J20)</f>
        <v>2326242.4500000002</v>
      </c>
    </row>
    <row r="23" spans="1:9" x14ac:dyDescent="0.25">
      <c r="A23" s="778" t="s">
        <v>341</v>
      </c>
      <c r="B23" s="778"/>
      <c r="C23" s="414">
        <f>SUM('0040:4131'!C21)</f>
        <v>50.5</v>
      </c>
      <c r="D23" s="414">
        <f>SUM('0040:4131'!D21)</f>
        <v>0</v>
      </c>
      <c r="E23" s="411">
        <f>SUM('0040:4131'!E21)</f>
        <v>101</v>
      </c>
      <c r="F23" s="798">
        <f>'1461'!G21:G21</f>
        <v>6.0640000000000001</v>
      </c>
      <c r="G23" s="798"/>
      <c r="H23" s="412">
        <f>SUM('0040:4131'!I21)</f>
        <v>612.46399999999994</v>
      </c>
      <c r="I23" s="589">
        <f>SUM('0040:4131'!J21)</f>
        <v>3407337.6799999997</v>
      </c>
    </row>
    <row r="24" spans="1:9" x14ac:dyDescent="0.25">
      <c r="A24" s="778" t="s">
        <v>342</v>
      </c>
      <c r="B24" s="778"/>
      <c r="C24" s="414">
        <f>SUM('0040:4131'!C22)</f>
        <v>50.5</v>
      </c>
      <c r="D24" s="414">
        <f>SUM('0040:4131'!D22)</f>
        <v>0</v>
      </c>
      <c r="E24" s="411">
        <f>SUM('0040:4131'!E22)</f>
        <v>101</v>
      </c>
      <c r="F24" s="798">
        <f>'1461'!G22:G22</f>
        <v>6.0640000000000001</v>
      </c>
      <c r="G24" s="798"/>
      <c r="H24" s="412">
        <f>SUM('0040:4131'!I22)</f>
        <v>612.46400000000006</v>
      </c>
      <c r="I24" s="589">
        <f>SUM('0040:4131'!J22)</f>
        <v>3407337.7</v>
      </c>
    </row>
    <row r="25" spans="1:9" x14ac:dyDescent="0.25">
      <c r="A25" s="778" t="s">
        <v>343</v>
      </c>
      <c r="B25" s="778"/>
      <c r="C25" s="414">
        <f>SUM('0040:4131'!C23)</f>
        <v>40</v>
      </c>
      <c r="D25" s="414">
        <f>SUM('0040:4131'!D23)</f>
        <v>0</v>
      </c>
      <c r="E25" s="411">
        <f>SUM('0040:4131'!E23)</f>
        <v>80</v>
      </c>
      <c r="F25" s="798">
        <f>'1461'!G23:G23</f>
        <v>6.0640000000000001</v>
      </c>
      <c r="G25" s="798"/>
      <c r="H25" s="412">
        <f>SUM('0040:4131'!I23)</f>
        <v>485.12</v>
      </c>
      <c r="I25" s="589">
        <f>SUM('0040:4131'!J23)</f>
        <v>2698881.34</v>
      </c>
    </row>
    <row r="26" spans="1:9" x14ac:dyDescent="0.25">
      <c r="A26" s="778" t="s">
        <v>344</v>
      </c>
      <c r="B26" s="778"/>
      <c r="C26" s="414">
        <f>SUM('0040:4131'!C24)</f>
        <v>564.74999999999989</v>
      </c>
      <c r="D26" s="414">
        <f>SUM('0040:4131'!D24)</f>
        <v>0</v>
      </c>
      <c r="E26" s="411">
        <f>SUM('0040:4131'!E24)</f>
        <v>1129.4999999999998</v>
      </c>
      <c r="F26" s="798">
        <f>'1461'!G24:G24</f>
        <v>1.165</v>
      </c>
      <c r="G26" s="798"/>
      <c r="H26" s="412">
        <f>SUM('0040:4131'!I24)</f>
        <v>1315.8675000000001</v>
      </c>
      <c r="I26" s="589">
        <f>SUM('0040:4131'!J24)</f>
        <v>7320601.5899999989</v>
      </c>
    </row>
    <row r="27" spans="1:9" x14ac:dyDescent="0.25">
      <c r="A27" s="778" t="s">
        <v>345</v>
      </c>
      <c r="B27" s="778"/>
      <c r="C27" s="414">
        <f>SUM('0040:4131'!C25)</f>
        <v>320.12</v>
      </c>
      <c r="D27" s="414">
        <f>SUM('0040:4131'!D25)</f>
        <v>0</v>
      </c>
      <c r="E27" s="411">
        <f>SUM('0040:4131'!E25)</f>
        <v>640.24</v>
      </c>
      <c r="F27" s="798">
        <f>'1461'!G25:G25</f>
        <v>1.165</v>
      </c>
      <c r="G27" s="798"/>
      <c r="H27" s="412">
        <f>SUM('0040:4131'!I25)</f>
        <v>745.87959999999998</v>
      </c>
      <c r="I27" s="589">
        <f>SUM('0040:4131'!J25)</f>
        <v>4149572.32</v>
      </c>
    </row>
    <row r="28" spans="1:9" x14ac:dyDescent="0.25">
      <c r="A28" s="778" t="s">
        <v>346</v>
      </c>
      <c r="B28" s="778"/>
      <c r="C28" s="414">
        <f>SUM('0040:4131'!C26)</f>
        <v>155.80000000000001</v>
      </c>
      <c r="D28" s="414">
        <f>SUM('0040:4131'!D26)</f>
        <v>0</v>
      </c>
      <c r="E28" s="411">
        <f>SUM('0040:4131'!E26)</f>
        <v>311.60000000000002</v>
      </c>
      <c r="F28" s="798">
        <f>'1461'!G26:G26</f>
        <v>1.165</v>
      </c>
      <c r="G28" s="798"/>
      <c r="H28" s="412">
        <f>SUM('0040:4131'!I26)</f>
        <v>363.01400000000001</v>
      </c>
      <c r="I28" s="589">
        <f>SUM('0040:4131'!J26)</f>
        <v>2019565.6999999997</v>
      </c>
    </row>
    <row r="29" spans="1:9" x14ac:dyDescent="0.25">
      <c r="A29" s="778" t="s">
        <v>347</v>
      </c>
      <c r="B29" s="778"/>
      <c r="C29" s="414">
        <f>SUM('0040:4131'!C27)</f>
        <v>287.02999999999997</v>
      </c>
      <c r="D29" s="414">
        <f>SUM('0040:4131'!D27)</f>
        <v>0</v>
      </c>
      <c r="E29" s="411">
        <f>SUM('0040:4131'!E27)</f>
        <v>574.05999999999995</v>
      </c>
      <c r="F29" s="798">
        <f>'1461'!G27:G27</f>
        <v>1.081</v>
      </c>
      <c r="G29" s="798"/>
      <c r="H29" s="412">
        <f>SUM('0040:4131'!I27)</f>
        <v>620.55869999999993</v>
      </c>
      <c r="I29" s="589">
        <f>SUM('0040:4131'!J27)</f>
        <v>3452371.1500000004</v>
      </c>
    </row>
    <row r="30" spans="1:9" x14ac:dyDescent="0.25">
      <c r="A30" s="799" t="s">
        <v>348</v>
      </c>
      <c r="B30" s="779"/>
      <c r="C30" s="416">
        <f>SUM(C14:C29)</f>
        <v>10719.78</v>
      </c>
      <c r="D30" s="416">
        <f>SUM(D14:D29)</f>
        <v>0</v>
      </c>
      <c r="E30" s="417">
        <f>SUM(E14:E29)</f>
        <v>21439.56</v>
      </c>
      <c r="F30" s="803"/>
      <c r="G30" s="803"/>
      <c r="H30" s="418">
        <f>SUM('0040:4131'!I28)</f>
        <v>24795.967700000001</v>
      </c>
      <c r="I30" s="590">
        <f>SUM('0040:4131'!J28)</f>
        <v>137948084.06999996</v>
      </c>
    </row>
    <row r="31" spans="1:9" x14ac:dyDescent="0.25">
      <c r="A31" s="379" t="s">
        <v>349</v>
      </c>
      <c r="B31" s="419"/>
      <c r="C31" s="414">
        <f>SUM('0040:4131'!C29)</f>
        <v>0</v>
      </c>
      <c r="D31" s="414">
        <f>SUM('0040:4131'!D29)</f>
        <v>0</v>
      </c>
      <c r="E31" s="411">
        <f>IF(D$30=0,C31*2,C31+D31)</f>
        <v>0</v>
      </c>
      <c r="F31" s="798">
        <f>'1461'!G29:G29</f>
        <v>0</v>
      </c>
      <c r="G31" s="798"/>
      <c r="H31" s="412">
        <f t="shared" ref="H31" si="0">ROUND(E31*F31,4)</f>
        <v>0</v>
      </c>
      <c r="I31" s="413">
        <f>[2]Virtual!E28</f>
        <v>0</v>
      </c>
    </row>
    <row r="32" spans="1:9" x14ac:dyDescent="0.25">
      <c r="A32" s="799" t="s">
        <v>350</v>
      </c>
      <c r="B32" s="779"/>
      <c r="C32" s="420">
        <f>SUM(C30:C31)</f>
        <v>10719.78</v>
      </c>
      <c r="D32" s="420">
        <f>SUM(D30:D31)</f>
        <v>0</v>
      </c>
      <c r="E32" s="420">
        <f>SUM(E30:E31)</f>
        <v>21439.56</v>
      </c>
      <c r="F32" s="421"/>
      <c r="G32" s="421"/>
      <c r="H32" s="412"/>
      <c r="I32" s="589">
        <f>SUM('0040:4131'!J30)</f>
        <v>0</v>
      </c>
    </row>
    <row r="33" spans="1:9" x14ac:dyDescent="0.25">
      <c r="A33" s="422"/>
      <c r="B33" s="422"/>
      <c r="C33" s="413"/>
      <c r="D33" s="413"/>
      <c r="E33" s="413"/>
      <c r="F33" s="421"/>
      <c r="G33" s="421"/>
      <c r="H33" s="412"/>
      <c r="I33" s="413"/>
    </row>
    <row r="34" spans="1:9" x14ac:dyDescent="0.25">
      <c r="A34" s="423" t="s">
        <v>37</v>
      </c>
      <c r="B34" s="422"/>
      <c r="C34" s="413"/>
      <c r="D34" s="413"/>
      <c r="E34" s="413"/>
      <c r="F34" s="421"/>
      <c r="G34" s="421"/>
      <c r="H34" s="412"/>
      <c r="I34" s="413"/>
    </row>
    <row r="35" spans="1:9" hidden="1" x14ac:dyDescent="0.25">
      <c r="A35" s="423"/>
      <c r="B35" s="422"/>
      <c r="C35" s="413"/>
      <c r="D35" s="413"/>
      <c r="E35" s="413"/>
      <c r="F35" s="421"/>
      <c r="G35" s="421"/>
      <c r="H35" s="412"/>
      <c r="I35" s="413"/>
    </row>
    <row r="36" spans="1:9" hidden="1" x14ac:dyDescent="0.25">
      <c r="A36" s="376"/>
      <c r="B36" s="424"/>
      <c r="C36" s="424"/>
      <c r="D36" s="424"/>
      <c r="E36" s="424"/>
      <c r="F36" s="424"/>
      <c r="G36" s="424"/>
      <c r="H36" s="424"/>
      <c r="I36" s="425" t="s">
        <v>351</v>
      </c>
    </row>
    <row r="37" spans="1:9" hidden="1" x14ac:dyDescent="0.25">
      <c r="A37" s="422"/>
      <c r="B37" s="422"/>
      <c r="C37" s="399" t="str">
        <f>C11</f>
        <v>Oct 2024</v>
      </c>
      <c r="D37" s="399" t="str">
        <f>D11</f>
        <v>Feb 2025</v>
      </c>
      <c r="E37" s="400" t="s">
        <v>125</v>
      </c>
      <c r="F37" s="421"/>
      <c r="G37" s="421"/>
      <c r="H37" s="426"/>
      <c r="I37" s="427" t="s">
        <v>10</v>
      </c>
    </row>
    <row r="38" spans="1:9" hidden="1" x14ac:dyDescent="0.25">
      <c r="A38" s="800" t="s">
        <v>352</v>
      </c>
      <c r="B38" s="800"/>
      <c r="C38" s="428" t="s">
        <v>54</v>
      </c>
      <c r="D38" s="428" t="s">
        <v>54</v>
      </c>
      <c r="E38" s="403" t="s">
        <v>54</v>
      </c>
      <c r="F38" s="429"/>
      <c r="G38" s="429"/>
      <c r="H38" s="429"/>
      <c r="I38" s="430" t="s">
        <v>353</v>
      </c>
    </row>
    <row r="39" spans="1:9" hidden="1" x14ac:dyDescent="0.25">
      <c r="A39" s="801" t="s">
        <v>93</v>
      </c>
      <c r="B39" s="801"/>
      <c r="C39" s="431">
        <f>SUM('[2]1461:4111'!C38)</f>
        <v>0</v>
      </c>
      <c r="D39" s="431">
        <f>SUM('[2]1461:4111'!D38)</f>
        <v>0</v>
      </c>
      <c r="E39" s="417">
        <f>SUM('[2]1461:4111'!E38)</f>
        <v>0</v>
      </c>
      <c r="F39" s="432"/>
      <c r="G39" s="432"/>
      <c r="H39" s="432"/>
      <c r="I39" s="416">
        <f>SUM('[2]1461:4111'!I38)</f>
        <v>0</v>
      </c>
    </row>
    <row r="40" spans="1:9" hidden="1" x14ac:dyDescent="0.25">
      <c r="A40" s="778" t="s">
        <v>94</v>
      </c>
      <c r="B40" s="778"/>
      <c r="C40" s="433">
        <f>SUM('[2]1461:4111'!C39)</f>
        <v>0</v>
      </c>
      <c r="D40" s="433">
        <f>SUM('[2]1461:4111'!D39)</f>
        <v>0</v>
      </c>
      <c r="E40" s="411">
        <f>SUM('[2]1461:4111'!E39)</f>
        <v>0</v>
      </c>
      <c r="F40" s="434"/>
      <c r="G40" s="434"/>
      <c r="H40" s="434"/>
      <c r="I40" s="413">
        <f>SUM('[2]1461:4111'!I39)</f>
        <v>0</v>
      </c>
    </row>
    <row r="41" spans="1:9" hidden="1" x14ac:dyDescent="0.25">
      <c r="A41" s="802" t="s">
        <v>95</v>
      </c>
      <c r="B41" s="802"/>
      <c r="C41" s="433">
        <f>SUM('[2]1461:4111'!C40)</f>
        <v>0</v>
      </c>
      <c r="D41" s="433">
        <f>SUM('[2]1461:4111'!D40)</f>
        <v>0</v>
      </c>
      <c r="E41" s="411">
        <f>SUM('[2]1461:4111'!E40)</f>
        <v>0</v>
      </c>
      <c r="F41" s="434"/>
      <c r="G41" s="434"/>
      <c r="H41" s="434"/>
      <c r="I41" s="413">
        <f>SUM('[2]1461:4111'!I40)</f>
        <v>0</v>
      </c>
    </row>
    <row r="42" spans="1:9" hidden="1" x14ac:dyDescent="0.25">
      <c r="A42" s="778" t="s">
        <v>96</v>
      </c>
      <c r="B42" s="778"/>
      <c r="C42" s="433">
        <f>SUM('[2]1461:4111'!C41)</f>
        <v>0</v>
      </c>
      <c r="D42" s="433">
        <f>SUM('[2]1461:4111'!D41)</f>
        <v>0</v>
      </c>
      <c r="E42" s="411">
        <f>SUM('[2]1461:4111'!E41)</f>
        <v>0</v>
      </c>
      <c r="F42" s="434"/>
      <c r="G42" s="434"/>
      <c r="H42" s="434"/>
      <c r="I42" s="413">
        <f>SUM('[2]1461:4111'!I41)</f>
        <v>0</v>
      </c>
    </row>
    <row r="43" spans="1:9" hidden="1" x14ac:dyDescent="0.25">
      <c r="A43" s="778" t="s">
        <v>97</v>
      </c>
      <c r="B43" s="778"/>
      <c r="C43" s="433">
        <f>SUM('[2]1461:4111'!C42)</f>
        <v>0</v>
      </c>
      <c r="D43" s="433">
        <f>SUM('[2]1461:4111'!D42)</f>
        <v>0</v>
      </c>
      <c r="E43" s="411">
        <f>SUM('[2]1461:4111'!E42)</f>
        <v>0</v>
      </c>
      <c r="F43" s="434"/>
      <c r="G43" s="434"/>
      <c r="H43" s="434"/>
      <c r="I43" s="413">
        <f>SUM('[2]1461:4111'!I42)</f>
        <v>0</v>
      </c>
    </row>
    <row r="44" spans="1:9" hidden="1" x14ac:dyDescent="0.25">
      <c r="A44" s="778" t="s">
        <v>41</v>
      </c>
      <c r="B44" s="778"/>
      <c r="C44" s="435">
        <f>SUM('[2]1461:4111'!C43)</f>
        <v>0</v>
      </c>
      <c r="D44" s="435">
        <f>SUM('[2]1461:4111'!D43)</f>
        <v>0</v>
      </c>
      <c r="E44" s="436">
        <f>SUM('[2]1461:4111'!E43)</f>
        <v>0</v>
      </c>
      <c r="F44" s="434"/>
      <c r="G44" s="434"/>
      <c r="H44" s="434"/>
      <c r="I44" s="437">
        <f>SUM('[2]1461:4111'!I43)</f>
        <v>0</v>
      </c>
    </row>
    <row r="45" spans="1:9" hidden="1" x14ac:dyDescent="0.25">
      <c r="A45" s="376"/>
      <c r="B45" s="438" t="s">
        <v>354</v>
      </c>
      <c r="C45" s="420">
        <f>SUM(C39:C44)</f>
        <v>0</v>
      </c>
      <c r="D45" s="420">
        <f>SUM(D39:D44)</f>
        <v>0</v>
      </c>
      <c r="E45" s="420">
        <f>SUM(E39:E44)</f>
        <v>0</v>
      </c>
      <c r="F45" s="439"/>
      <c r="G45" s="440"/>
      <c r="H45" s="441" t="s">
        <v>355</v>
      </c>
      <c r="I45" s="420">
        <f>SUM(I39:I44)</f>
        <v>0</v>
      </c>
    </row>
    <row r="46" spans="1:9" hidden="1" x14ac:dyDescent="0.25">
      <c r="A46" s="376"/>
      <c r="B46" s="438"/>
      <c r="C46" s="413"/>
      <c r="D46" s="413"/>
      <c r="E46" s="416"/>
      <c r="F46" s="439"/>
      <c r="G46" s="440"/>
      <c r="H46" s="441"/>
      <c r="I46" s="413"/>
    </row>
    <row r="47" spans="1:9" ht="16.5" hidden="1" thickBot="1" x14ac:dyDescent="0.3">
      <c r="A47" s="376"/>
      <c r="B47" s="438" t="s">
        <v>356</v>
      </c>
      <c r="E47" s="442">
        <f>H30+E45</f>
        <v>24795.967700000001</v>
      </c>
      <c r="F47" s="443"/>
      <c r="G47" s="440"/>
      <c r="H47" s="441" t="s">
        <v>357</v>
      </c>
      <c r="I47" s="437">
        <f>SUM(I45,I32)</f>
        <v>0</v>
      </c>
    </row>
    <row r="48" spans="1:9" hidden="1" x14ac:dyDescent="0.25">
      <c r="A48" s="422"/>
      <c r="B48" s="422"/>
      <c r="C48" s="422"/>
      <c r="D48" s="422"/>
      <c r="E48" s="422"/>
      <c r="F48" s="443"/>
      <c r="G48" s="421"/>
      <c r="H48" s="421"/>
      <c r="I48" s="413"/>
    </row>
    <row r="49" spans="1:11" x14ac:dyDescent="0.25">
      <c r="A49" s="422"/>
      <c r="B49" s="422"/>
      <c r="C49" s="422"/>
      <c r="D49" s="422"/>
      <c r="E49" s="422"/>
      <c r="F49" s="443"/>
      <c r="G49" s="421"/>
      <c r="H49" s="421"/>
      <c r="I49" s="413"/>
    </row>
    <row r="50" spans="1:11" x14ac:dyDescent="0.25">
      <c r="A50" s="379" t="s">
        <v>358</v>
      </c>
      <c r="B50" s="422"/>
      <c r="C50" s="422"/>
      <c r="D50" s="422"/>
      <c r="E50" s="422"/>
      <c r="F50" s="443"/>
      <c r="G50" s="421"/>
      <c r="H50" s="421"/>
      <c r="I50" s="413"/>
    </row>
    <row r="51" spans="1:11" s="445" customFormat="1" ht="9" customHeight="1" x14ac:dyDescent="0.25">
      <c r="A51" s="444" t="s">
        <v>359</v>
      </c>
      <c r="F51" s="446"/>
      <c r="G51" s="447"/>
      <c r="H51" s="447"/>
      <c r="I51" s="448"/>
    </row>
    <row r="52" spans="1:11" s="445" customFormat="1" ht="11.25" customHeight="1" x14ac:dyDescent="0.25">
      <c r="A52" s="449" t="s">
        <v>360</v>
      </c>
      <c r="F52" s="446"/>
      <c r="G52" s="447"/>
      <c r="H52" s="447"/>
      <c r="I52" s="448"/>
    </row>
    <row r="53" spans="1:11" x14ac:dyDescent="0.25">
      <c r="A53" s="450"/>
      <c r="B53" s="376" t="s">
        <v>361</v>
      </c>
      <c r="C53" s="422"/>
      <c r="D53" s="422"/>
      <c r="E53" s="451" t="s">
        <v>362</v>
      </c>
      <c r="F53" s="591">
        <f>SUM('0040:4131'!G36)</f>
        <v>137714001.50999996</v>
      </c>
      <c r="G53" s="453" t="s">
        <v>81</v>
      </c>
      <c r="H53" s="454">
        <v>6.6699999999999995E-2</v>
      </c>
      <c r="I53" s="592">
        <f>SUM('0040:4131'!J36)</f>
        <v>9185523.8900000006</v>
      </c>
      <c r="K53" s="455">
        <f>F53*H53</f>
        <v>9185523.9007169958</v>
      </c>
    </row>
    <row r="54" spans="1:11" x14ac:dyDescent="0.25">
      <c r="A54" s="422"/>
      <c r="B54" s="379" t="s">
        <v>363</v>
      </c>
      <c r="C54" s="422"/>
      <c r="D54" s="422"/>
      <c r="E54" s="451" t="s">
        <v>362</v>
      </c>
      <c r="F54" s="591">
        <f>SUM('0040:4131'!G37)</f>
        <v>137714001.50999996</v>
      </c>
      <c r="G54" s="453" t="s">
        <v>81</v>
      </c>
      <c r="H54" s="454">
        <v>5.4000000000000003E-3</v>
      </c>
      <c r="I54" s="592">
        <f>SUM('0040:4131'!J37)</f>
        <v>743655.58</v>
      </c>
      <c r="K54" s="455">
        <f>F54*0.0054</f>
        <v>743655.60815399978</v>
      </c>
    </row>
    <row r="55" spans="1:11" x14ac:dyDescent="0.25">
      <c r="A55" s="422"/>
      <c r="B55" s="379" t="s">
        <v>364</v>
      </c>
      <c r="C55" s="422"/>
      <c r="D55" s="422"/>
      <c r="E55" s="451"/>
      <c r="F55" s="452"/>
      <c r="G55" s="453"/>
      <c r="H55" s="454"/>
      <c r="I55" s="420">
        <f>SUM(I53:I54)</f>
        <v>9929179.4700000007</v>
      </c>
    </row>
    <row r="56" spans="1:11" x14ac:dyDescent="0.25">
      <c r="A56" s="422"/>
      <c r="B56" s="422"/>
      <c r="C56" s="422"/>
      <c r="D56" s="422"/>
      <c r="E56" s="422"/>
      <c r="F56" s="443"/>
      <c r="G56" s="421"/>
      <c r="H56" s="421"/>
      <c r="I56" s="413"/>
    </row>
    <row r="57" spans="1:11" x14ac:dyDescent="0.25">
      <c r="A57" s="422"/>
      <c r="B57" s="422"/>
      <c r="C57" s="399" t="str">
        <f>C11</f>
        <v>Oct 2024</v>
      </c>
      <c r="D57" s="456" t="str">
        <f t="shared" ref="D57:D58" si="1">D11</f>
        <v>Feb 2025</v>
      </c>
      <c r="E57" s="400" t="s">
        <v>125</v>
      </c>
      <c r="F57" s="457" t="s">
        <v>365</v>
      </c>
      <c r="G57" s="453" t="s">
        <v>366</v>
      </c>
      <c r="H57" s="458" t="s">
        <v>367</v>
      </c>
      <c r="I57" s="413"/>
    </row>
    <row r="58" spans="1:11" x14ac:dyDescent="0.25">
      <c r="A58" s="459" t="s">
        <v>53</v>
      </c>
      <c r="B58" s="459"/>
      <c r="C58" s="428" t="str">
        <f t="shared" ref="C58" si="2">C12</f>
        <v>FTE</v>
      </c>
      <c r="D58" s="428" t="str">
        <f t="shared" si="1"/>
        <v>FTE</v>
      </c>
      <c r="E58" s="403" t="s">
        <v>54</v>
      </c>
      <c r="F58" s="460" t="s">
        <v>368</v>
      </c>
      <c r="G58" s="461" t="s">
        <v>368</v>
      </c>
      <c r="H58" s="462" t="s">
        <v>369</v>
      </c>
      <c r="I58" s="459"/>
    </row>
    <row r="59" spans="1:11" ht="15.75" customHeight="1" x14ac:dyDescent="0.25">
      <c r="A59" s="796" t="s">
        <v>370</v>
      </c>
      <c r="B59" s="796"/>
      <c r="C59" s="414">
        <f>SUM('0040:4131'!C41)</f>
        <v>226</v>
      </c>
      <c r="D59" s="414">
        <f>SUM('0040:4131'!D41)</f>
        <v>0</v>
      </c>
      <c r="E59" s="411">
        <f>SUM('0040:4131'!E41)</f>
        <v>452</v>
      </c>
      <c r="F59" s="463" t="s">
        <v>59</v>
      </c>
      <c r="G59" s="463">
        <v>251</v>
      </c>
      <c r="H59" s="464">
        <f>'0040'!I41</f>
        <v>1047</v>
      </c>
      <c r="I59" s="411">
        <f>SUM('0040:4131'!J41)</f>
        <v>473244</v>
      </c>
    </row>
    <row r="60" spans="1:11" x14ac:dyDescent="0.25">
      <c r="A60" s="797"/>
      <c r="B60" s="797"/>
      <c r="C60" s="414">
        <f>SUM('0040:4131'!C42)</f>
        <v>45.5</v>
      </c>
      <c r="D60" s="414">
        <f>SUM('0040:4131'!D42)</f>
        <v>0</v>
      </c>
      <c r="E60" s="411">
        <f>SUM('0040:4131'!E42)</f>
        <v>91</v>
      </c>
      <c r="F60" s="463" t="s">
        <v>59</v>
      </c>
      <c r="G60" s="463">
        <v>252</v>
      </c>
      <c r="H60" s="464">
        <f>'0040'!I42</f>
        <v>3380</v>
      </c>
      <c r="I60" s="411">
        <f>SUM('0040:4131'!J42)</f>
        <v>307580</v>
      </c>
    </row>
    <row r="61" spans="1:11" x14ac:dyDescent="0.25">
      <c r="A61" s="797"/>
      <c r="B61" s="797"/>
      <c r="C61" s="414">
        <f>SUM('0040:4131'!C43)</f>
        <v>16.5</v>
      </c>
      <c r="D61" s="414">
        <f>SUM('0040:4131'!D43)</f>
        <v>0</v>
      </c>
      <c r="E61" s="411">
        <f>SUM('0040:4131'!E43)</f>
        <v>33</v>
      </c>
      <c r="F61" s="463" t="s">
        <v>59</v>
      </c>
      <c r="G61" s="463">
        <v>253</v>
      </c>
      <c r="H61" s="464">
        <f>'0040'!I43</f>
        <v>6896</v>
      </c>
      <c r="I61" s="411">
        <f>SUM('0040:4131'!J43)</f>
        <v>227568</v>
      </c>
    </row>
    <row r="62" spans="1:11" x14ac:dyDescent="0.25">
      <c r="A62" s="797"/>
      <c r="B62" s="797"/>
      <c r="C62" s="414">
        <f>SUM('0040:4131'!C44)</f>
        <v>504.01000000000005</v>
      </c>
      <c r="D62" s="414">
        <f>SUM('0040:4131'!D44)</f>
        <v>0</v>
      </c>
      <c r="E62" s="411">
        <f>SUM('0040:4131'!E44)</f>
        <v>1008.0200000000001</v>
      </c>
      <c r="F62" s="465" t="s">
        <v>60</v>
      </c>
      <c r="G62" s="463">
        <v>251</v>
      </c>
      <c r="H62" s="464">
        <f>'0040'!I44</f>
        <v>1173</v>
      </c>
      <c r="I62" s="411">
        <f>SUM('0040:4131'!J44)</f>
        <v>1182407.46</v>
      </c>
    </row>
    <row r="63" spans="1:11" x14ac:dyDescent="0.25">
      <c r="A63" s="797"/>
      <c r="B63" s="797"/>
      <c r="C63" s="414">
        <f>SUM('0040:4131'!C45)</f>
        <v>63.05</v>
      </c>
      <c r="D63" s="414">
        <f>SUM('0040:4131'!D45)</f>
        <v>0</v>
      </c>
      <c r="E63" s="411">
        <f>SUM('0040:4131'!E45)</f>
        <v>126.1</v>
      </c>
      <c r="F63" s="465" t="s">
        <v>60</v>
      </c>
      <c r="G63" s="463">
        <v>252</v>
      </c>
      <c r="H63" s="464">
        <f>'0040'!I45</f>
        <v>3506</v>
      </c>
      <c r="I63" s="411">
        <f>SUM('0040:4131'!J45)</f>
        <v>442106.6</v>
      </c>
    </row>
    <row r="64" spans="1:11" x14ac:dyDescent="0.25">
      <c r="A64" s="797"/>
      <c r="B64" s="797"/>
      <c r="C64" s="414">
        <f>SUM('0040:4131'!C46)</f>
        <v>13</v>
      </c>
      <c r="D64" s="414">
        <f>SUM('0040:4131'!D46)</f>
        <v>0</v>
      </c>
      <c r="E64" s="411">
        <f>SUM('0040:4131'!E46)</f>
        <v>26</v>
      </c>
      <c r="F64" s="465" t="s">
        <v>60</v>
      </c>
      <c r="G64" s="463">
        <v>253</v>
      </c>
      <c r="H64" s="464">
        <f>'0040'!I46</f>
        <v>7023</v>
      </c>
      <c r="I64" s="411">
        <f>SUM('0040:4131'!J46)</f>
        <v>182598</v>
      </c>
    </row>
    <row r="65" spans="1:9" x14ac:dyDescent="0.25">
      <c r="A65" s="797"/>
      <c r="B65" s="797"/>
      <c r="C65" s="414">
        <f>SUM('0040:4131'!C47)</f>
        <v>431.95000000000005</v>
      </c>
      <c r="D65" s="414">
        <f>SUM('0040:4131'!D47)</f>
        <v>0</v>
      </c>
      <c r="E65" s="411">
        <f>SUM('0040:4131'!E47)</f>
        <v>863.90000000000009</v>
      </c>
      <c r="F65" s="465" t="s">
        <v>61</v>
      </c>
      <c r="G65" s="463">
        <v>251</v>
      </c>
      <c r="H65" s="464">
        <f>'0040'!I47</f>
        <v>835</v>
      </c>
      <c r="I65" s="411">
        <f>SUM('0040:4131'!J47)</f>
        <v>721356.5</v>
      </c>
    </row>
    <row r="66" spans="1:9" x14ac:dyDescent="0.25">
      <c r="A66" s="797"/>
      <c r="B66" s="797"/>
      <c r="C66" s="414">
        <f>SUM('0040:4131'!C48)</f>
        <v>80.870000000000019</v>
      </c>
      <c r="D66" s="414">
        <f>SUM('0040:4131'!D48)</f>
        <v>0</v>
      </c>
      <c r="E66" s="411">
        <f>SUM('0040:4131'!E48)</f>
        <v>161.74000000000004</v>
      </c>
      <c r="F66" s="465" t="s">
        <v>61</v>
      </c>
      <c r="G66" s="463">
        <v>252</v>
      </c>
      <c r="H66" s="464">
        <f>'0040'!I48</f>
        <v>3168</v>
      </c>
      <c r="I66" s="411">
        <f>SUM('0040:4131'!J48)</f>
        <v>512392.31999999995</v>
      </c>
    </row>
    <row r="67" spans="1:9" x14ac:dyDescent="0.25">
      <c r="A67" s="797"/>
      <c r="B67" s="797"/>
      <c r="C67" s="414">
        <f>SUM('0040:4131'!C49)</f>
        <v>114.17000000000002</v>
      </c>
      <c r="D67" s="414">
        <f>SUM('0040:4131'!D49)</f>
        <v>0</v>
      </c>
      <c r="E67" s="411">
        <f>SUM('0040:4131'!E49)</f>
        <v>228.34000000000003</v>
      </c>
      <c r="F67" s="465" t="s">
        <v>61</v>
      </c>
      <c r="G67" s="463">
        <v>253</v>
      </c>
      <c r="H67" s="464">
        <f>'0040'!I49</f>
        <v>6685</v>
      </c>
      <c r="I67" s="411">
        <f>SUM('0040:4131'!J49)</f>
        <v>1526452.9</v>
      </c>
    </row>
    <row r="68" spans="1:9" x14ac:dyDescent="0.25">
      <c r="C68" s="420">
        <f>SUM(C59:C67)</f>
        <v>1495.0500000000002</v>
      </c>
      <c r="D68" s="420">
        <f>SUM(D59:D67)</f>
        <v>0</v>
      </c>
      <c r="E68" s="420">
        <f>SUM(E59:E67)</f>
        <v>2990.1000000000004</v>
      </c>
      <c r="F68" s="776" t="s">
        <v>63</v>
      </c>
      <c r="G68" s="776"/>
      <c r="H68" s="776"/>
      <c r="I68" s="420">
        <f>SUM(I59:I67)</f>
        <v>5575705.7799999993</v>
      </c>
    </row>
    <row r="69" spans="1:9" x14ac:dyDescent="0.25">
      <c r="A69" s="422"/>
      <c r="B69" s="422"/>
      <c r="C69" s="466"/>
      <c r="D69" s="422"/>
      <c r="E69" s="422"/>
      <c r="F69" s="443"/>
      <c r="G69" s="421"/>
      <c r="H69" s="421"/>
      <c r="I69" s="413"/>
    </row>
    <row r="70" spans="1:9" x14ac:dyDescent="0.25">
      <c r="A70" s="379" t="s">
        <v>371</v>
      </c>
    </row>
    <row r="71" spans="1:9" x14ac:dyDescent="0.25">
      <c r="A71" s="777" t="s">
        <v>372</v>
      </c>
      <c r="B71" s="778"/>
      <c r="C71" s="467">
        <f>SUM('0040:4131'!E53)</f>
        <v>20693.18</v>
      </c>
      <c r="D71" s="785" t="s">
        <v>373</v>
      </c>
      <c r="E71" s="785"/>
      <c r="F71" s="785"/>
      <c r="G71" s="785"/>
      <c r="H71" s="468">
        <f>'0040'!I53</f>
        <v>215320.92</v>
      </c>
      <c r="I71" s="469"/>
    </row>
    <row r="72" spans="1:9" x14ac:dyDescent="0.25">
      <c r="B72" s="424"/>
      <c r="G72" s="470" t="s">
        <v>68</v>
      </c>
      <c r="H72" s="471">
        <f>ROUND(C71/H71,6)</f>
        <v>9.6103999999999995E-2</v>
      </c>
      <c r="I72" s="472"/>
    </row>
    <row r="73" spans="1:9" x14ac:dyDescent="0.25">
      <c r="A73" s="379" t="s">
        <v>374</v>
      </c>
    </row>
    <row r="74" spans="1:9" x14ac:dyDescent="0.25">
      <c r="A74" s="777" t="s">
        <v>375</v>
      </c>
      <c r="B74" s="778"/>
      <c r="C74" s="467">
        <f>SUM('0040:4131'!E56)</f>
        <v>24026.466399999998</v>
      </c>
      <c r="D74" s="785" t="s">
        <v>376</v>
      </c>
      <c r="E74" s="785"/>
      <c r="F74" s="785"/>
      <c r="G74" s="785"/>
      <c r="H74" s="468">
        <f>'0040'!I56</f>
        <v>229051.25000000003</v>
      </c>
      <c r="I74" s="411"/>
    </row>
    <row r="75" spans="1:9" x14ac:dyDescent="0.25">
      <c r="G75" s="470" t="s">
        <v>68</v>
      </c>
      <c r="H75" s="471">
        <f>ROUND(C74/H74,6)</f>
        <v>0.104896</v>
      </c>
      <c r="I75" s="471"/>
    </row>
    <row r="76" spans="1:9" x14ac:dyDescent="0.25">
      <c r="A76" s="473" t="s">
        <v>377</v>
      </c>
      <c r="B76" s="474"/>
      <c r="C76" s="474"/>
      <c r="D76" s="474"/>
      <c r="E76" s="474"/>
      <c r="F76" s="474"/>
      <c r="G76" s="474"/>
      <c r="H76" s="474"/>
      <c r="I76" s="474"/>
    </row>
    <row r="77" spans="1:9" x14ac:dyDescent="0.25">
      <c r="A77" s="777" t="s">
        <v>378</v>
      </c>
      <c r="B77" s="778"/>
      <c r="C77" s="467">
        <f>SUM('0040:4131'!E59)</f>
        <v>20693.18</v>
      </c>
      <c r="D77" s="790" t="s">
        <v>379</v>
      </c>
      <c r="E77" s="790"/>
      <c r="F77" s="790"/>
      <c r="G77" s="790"/>
      <c r="H77" s="468">
        <f>'0040'!I59</f>
        <v>186156.17</v>
      </c>
      <c r="I77" s="469"/>
    </row>
    <row r="78" spans="1:9" x14ac:dyDescent="0.25">
      <c r="B78" s="424"/>
      <c r="G78" s="470" t="s">
        <v>68</v>
      </c>
      <c r="H78" s="471">
        <f>ROUND(C77/H77,6)</f>
        <v>0.11115999999999999</v>
      </c>
      <c r="I78" s="472"/>
    </row>
    <row r="79" spans="1:9" x14ac:dyDescent="0.25">
      <c r="A79" s="473" t="s">
        <v>380</v>
      </c>
      <c r="B79" s="474"/>
      <c r="C79" s="474"/>
      <c r="D79" s="474"/>
      <c r="E79" s="474"/>
      <c r="F79" s="474"/>
      <c r="G79" s="474"/>
      <c r="H79" s="474"/>
      <c r="I79" s="474"/>
    </row>
    <row r="80" spans="1:9" x14ac:dyDescent="0.25">
      <c r="A80" s="777" t="s">
        <v>378</v>
      </c>
      <c r="B80" s="778"/>
      <c r="C80" s="467">
        <f>SUM('0040:4131'!E62)</f>
        <v>20693.18</v>
      </c>
      <c r="D80" s="795" t="s">
        <v>381</v>
      </c>
      <c r="E80" s="795"/>
      <c r="F80" s="795"/>
      <c r="G80" s="795"/>
      <c r="H80" s="468">
        <f>'0040'!I62</f>
        <v>215016.58000000002</v>
      </c>
      <c r="I80" s="469"/>
    </row>
    <row r="81" spans="1:25" x14ac:dyDescent="0.25">
      <c r="B81" s="424"/>
      <c r="G81" s="470" t="s">
        <v>68</v>
      </c>
      <c r="H81" s="471">
        <f>ROUND(C80/H80,6)</f>
        <v>9.6240000000000006E-2</v>
      </c>
      <c r="I81" s="472"/>
    </row>
    <row r="82" spans="1:25" x14ac:dyDescent="0.25">
      <c r="A82" s="473" t="s">
        <v>382</v>
      </c>
      <c r="B82" s="474"/>
      <c r="C82" s="474"/>
      <c r="D82" s="474"/>
      <c r="E82" s="474"/>
      <c r="F82" s="474"/>
      <c r="G82" s="474"/>
      <c r="H82" s="474"/>
      <c r="I82" s="474"/>
    </row>
    <row r="83" spans="1:25" x14ac:dyDescent="0.25">
      <c r="A83" s="777" t="s">
        <v>383</v>
      </c>
      <c r="B83" s="778"/>
      <c r="C83" s="467">
        <f>SUM('0040:4131'!E65)</f>
        <v>20693.18</v>
      </c>
      <c r="D83" s="790" t="s">
        <v>384</v>
      </c>
      <c r="E83" s="790"/>
      <c r="F83" s="790"/>
      <c r="G83" s="790"/>
      <c r="H83" s="468">
        <f>'0040'!I65</f>
        <v>185851.83000000002</v>
      </c>
      <c r="I83" s="469"/>
    </row>
    <row r="84" spans="1:25" x14ac:dyDescent="0.25">
      <c r="B84" s="424"/>
      <c r="G84" s="470" t="s">
        <v>68</v>
      </c>
      <c r="H84" s="471">
        <f>ROUND(C83/H83,6)</f>
        <v>0.111342</v>
      </c>
      <c r="I84" s="472"/>
    </row>
    <row r="85" spans="1:25" x14ac:dyDescent="0.25">
      <c r="A85" s="374"/>
      <c r="G85" s="470"/>
      <c r="H85" s="471"/>
      <c r="I85" s="471"/>
    </row>
    <row r="86" spans="1:25" x14ac:dyDescent="0.25">
      <c r="A86" s="379" t="s">
        <v>385</v>
      </c>
      <c r="D86" s="424"/>
      <c r="E86" s="451" t="s">
        <v>80</v>
      </c>
      <c r="F86" s="593">
        <f>'0040'!G68</f>
        <v>47290747</v>
      </c>
      <c r="G86" s="463" t="s">
        <v>81</v>
      </c>
      <c r="H86" s="476">
        <f>H81</f>
        <v>9.6240000000000006E-2</v>
      </c>
      <c r="I86" s="413">
        <f>SUM('0040:4131'!J68)</f>
        <v>4715407.71</v>
      </c>
      <c r="K86" s="477">
        <f>F86*H86</f>
        <v>4551261.4912800007</v>
      </c>
      <c r="L86" s="477">
        <f>I86-K86</f>
        <v>164146.21871999931</v>
      </c>
    </row>
    <row r="87" spans="1:25" x14ac:dyDescent="0.25">
      <c r="A87" s="478"/>
      <c r="D87" s="424"/>
      <c r="E87" s="451"/>
      <c r="F87" s="479"/>
      <c r="G87" s="463"/>
      <c r="H87" s="476"/>
      <c r="I87" s="413"/>
      <c r="K87" s="477"/>
      <c r="L87" s="477"/>
    </row>
    <row r="88" spans="1:25" x14ac:dyDescent="0.25">
      <c r="A88" s="794" t="s">
        <v>82</v>
      </c>
      <c r="B88" s="778"/>
      <c r="C88" s="778"/>
      <c r="D88" s="424"/>
      <c r="E88" s="451"/>
      <c r="F88" s="479"/>
      <c r="G88" s="463"/>
      <c r="H88" s="476"/>
      <c r="I88" s="413"/>
      <c r="K88" s="477"/>
      <c r="L88" s="477"/>
    </row>
    <row r="89" spans="1:25" ht="15.75" customHeight="1" x14ac:dyDescent="0.25">
      <c r="A89" s="794" t="s">
        <v>386</v>
      </c>
      <c r="B89" s="778"/>
      <c r="C89" s="778"/>
      <c r="D89" s="424"/>
      <c r="E89" s="451" t="s">
        <v>84</v>
      </c>
      <c r="F89" s="475">
        <f>'0040'!G70</f>
        <v>0</v>
      </c>
      <c r="G89" s="463" t="s">
        <v>81</v>
      </c>
      <c r="H89" s="476">
        <f>H72</f>
        <v>9.6103999999999995E-2</v>
      </c>
      <c r="I89" s="413">
        <f>SUM('[2]0040:4131'!I88)</f>
        <v>0</v>
      </c>
      <c r="K89" s="477"/>
      <c r="L89" s="477"/>
    </row>
    <row r="90" spans="1:25" ht="15.75" customHeight="1" x14ac:dyDescent="0.25">
      <c r="A90" s="480"/>
      <c r="B90" s="424"/>
      <c r="C90" s="424"/>
      <c r="D90" s="424"/>
      <c r="E90" s="451"/>
      <c r="F90" s="479"/>
      <c r="G90" s="463"/>
      <c r="H90" s="476"/>
      <c r="I90" s="413"/>
      <c r="K90" s="477"/>
      <c r="L90" s="477"/>
    </row>
    <row r="91" spans="1:25" x14ac:dyDescent="0.25">
      <c r="A91" s="379" t="s">
        <v>387</v>
      </c>
      <c r="D91" s="424"/>
      <c r="E91" s="451" t="s">
        <v>86</v>
      </c>
      <c r="F91" s="475">
        <f>'0040'!G71</f>
        <v>19167881</v>
      </c>
      <c r="G91" s="463" t="s">
        <v>81</v>
      </c>
      <c r="H91" s="476">
        <f>H84</f>
        <v>0.111342</v>
      </c>
      <c r="I91" s="413">
        <f>SUM('0040:4131'!J71)</f>
        <v>2211130.0699999994</v>
      </c>
      <c r="K91" s="477">
        <f t="shared" ref="K91:K93" si="3">F91*H91</f>
        <v>2134190.2063019997</v>
      </c>
      <c r="L91" s="477">
        <f t="shared" ref="L91:L93" si="4">I91-K91</f>
        <v>76939.863697999623</v>
      </c>
    </row>
    <row r="92" spans="1:25" x14ac:dyDescent="0.25">
      <c r="A92" s="478"/>
      <c r="D92" s="424"/>
      <c r="E92" s="451"/>
      <c r="F92" s="479"/>
      <c r="G92" s="463"/>
      <c r="H92" s="476"/>
      <c r="I92" s="413"/>
      <c r="K92" s="477">
        <f t="shared" si="3"/>
        <v>0</v>
      </c>
      <c r="L92" s="477">
        <f t="shared" si="4"/>
        <v>0</v>
      </c>
    </row>
    <row r="93" spans="1:25" x14ac:dyDescent="0.25">
      <c r="A93" s="379" t="s">
        <v>388</v>
      </c>
      <c r="D93" s="424"/>
      <c r="E93" s="451" t="s">
        <v>84</v>
      </c>
      <c r="F93" s="475">
        <f>'0040'!G72</f>
        <v>11546889</v>
      </c>
      <c r="G93" s="463" t="s">
        <v>81</v>
      </c>
      <c r="H93" s="476">
        <f>H78</f>
        <v>0.11115999999999999</v>
      </c>
      <c r="I93" s="413">
        <f>SUM('0040:4131'!J72)</f>
        <v>1329820.5600000003</v>
      </c>
      <c r="K93" s="477">
        <f t="shared" si="3"/>
        <v>1283552.1812399998</v>
      </c>
      <c r="L93" s="477">
        <f t="shared" si="4"/>
        <v>46268.378760000458</v>
      </c>
    </row>
    <row r="94" spans="1:25" x14ac:dyDescent="0.25">
      <c r="A94" s="379"/>
      <c r="D94" s="424"/>
      <c r="E94" s="451"/>
      <c r="F94" s="479"/>
      <c r="G94" s="463"/>
      <c r="H94" s="476"/>
      <c r="I94" s="413"/>
      <c r="K94" s="477"/>
      <c r="L94" s="477"/>
    </row>
    <row r="95" spans="1:25" s="2" customFormat="1" ht="24.75" customHeight="1" x14ac:dyDescent="0.25">
      <c r="A95" s="235" t="s">
        <v>89</v>
      </c>
      <c r="B95" s="235"/>
      <c r="C95" s="235"/>
      <c r="D95" s="235"/>
      <c r="E95" s="235"/>
      <c r="F95" s="248" t="s">
        <v>90</v>
      </c>
      <c r="G95" s="64"/>
      <c r="H95" s="223"/>
      <c r="I95" s="41"/>
      <c r="J95" s="30"/>
      <c r="R95" s="768" t="s">
        <v>91</v>
      </c>
      <c r="S95" s="768"/>
      <c r="T95" s="769" t="s">
        <v>170</v>
      </c>
      <c r="U95" s="770"/>
      <c r="V95" s="770"/>
      <c r="W95" s="770"/>
      <c r="X95" s="770"/>
      <c r="Y95" s="153"/>
    </row>
    <row r="96" spans="1:25" s="2" customFormat="1" ht="63" customHeight="1" x14ac:dyDescent="0.25">
      <c r="A96" s="771" t="s">
        <v>91</v>
      </c>
      <c r="B96" s="771"/>
      <c r="C96" s="229"/>
      <c r="D96" s="229"/>
      <c r="E96" s="772" t="s">
        <v>92</v>
      </c>
      <c r="F96" s="773"/>
      <c r="G96" s="773"/>
      <c r="H96" s="773"/>
      <c r="I96" s="773"/>
      <c r="J96" s="18"/>
      <c r="R96" s="761" t="s">
        <v>93</v>
      </c>
      <c r="S96" s="761"/>
      <c r="T96" s="197"/>
      <c r="U96" s="197"/>
      <c r="V96" s="197"/>
      <c r="W96" s="197"/>
      <c r="X96" s="197"/>
      <c r="Y96" s="197"/>
    </row>
    <row r="97" spans="1:26" s="2" customFormat="1" ht="22.5" customHeight="1" x14ac:dyDescent="0.25">
      <c r="A97" s="762" t="s">
        <v>93</v>
      </c>
      <c r="B97" s="762"/>
      <c r="C97" s="236"/>
      <c r="D97" s="236"/>
      <c r="E97" s="65"/>
      <c r="F97" s="65"/>
      <c r="G97" s="65"/>
      <c r="H97" s="65"/>
      <c r="I97" s="65"/>
      <c r="J97" s="594">
        <f>SUM('0040:4131'!J75)</f>
        <v>79.039999999999992</v>
      </c>
      <c r="L97" s="66"/>
      <c r="O97" s="248"/>
      <c r="P97" s="248"/>
      <c r="R97" s="761" t="s">
        <v>94</v>
      </c>
      <c r="S97" s="761"/>
      <c r="T97" s="197"/>
      <c r="U97" s="197"/>
      <c r="V97" s="197"/>
      <c r="W97" s="197"/>
      <c r="X97" s="197"/>
      <c r="Y97" s="197"/>
    </row>
    <row r="98" spans="1:26" s="2" customFormat="1" ht="18.75" customHeight="1" x14ac:dyDescent="0.25">
      <c r="A98" s="762" t="s">
        <v>94</v>
      </c>
      <c r="B98" s="762"/>
      <c r="C98" s="236"/>
      <c r="D98" s="236"/>
      <c r="E98" s="65"/>
      <c r="F98" s="65"/>
      <c r="G98" s="65"/>
      <c r="H98" s="65"/>
      <c r="I98" s="65"/>
      <c r="J98" s="594">
        <f>SUM('0040:4131'!J76)</f>
        <v>26.72</v>
      </c>
      <c r="L98" s="67"/>
      <c r="O98" s="248"/>
      <c r="P98" s="248"/>
      <c r="R98" s="759" t="s">
        <v>95</v>
      </c>
      <c r="S98" s="759"/>
      <c r="T98" s="198"/>
      <c r="U98" s="198"/>
      <c r="V98" s="198"/>
      <c r="W98" s="198"/>
      <c r="X98" s="198"/>
      <c r="Y98" s="197"/>
    </row>
    <row r="99" spans="1:26" s="2" customFormat="1" ht="18.75" customHeight="1" x14ac:dyDescent="0.25">
      <c r="A99" s="760" t="s">
        <v>95</v>
      </c>
      <c r="B99" s="760"/>
      <c r="C99" s="244"/>
      <c r="D99" s="244"/>
      <c r="E99" s="68"/>
      <c r="F99" s="68"/>
      <c r="G99" s="68"/>
      <c r="H99" s="68"/>
      <c r="I99" s="68"/>
      <c r="J99" s="594">
        <f>SUM('0040:4131'!J77)</f>
        <v>183.73999999999998</v>
      </c>
      <c r="L99" s="67"/>
      <c r="O99" s="248"/>
      <c r="P99" s="248"/>
      <c r="R99" s="257" t="s">
        <v>96</v>
      </c>
      <c r="S99" s="257"/>
      <c r="T99" s="197"/>
      <c r="U99" s="197"/>
      <c r="V99" s="197"/>
      <c r="W99" s="197"/>
      <c r="X99" s="197"/>
      <c r="Y99" s="197"/>
    </row>
    <row r="100" spans="1:26" s="2" customFormat="1" ht="20.25" customHeight="1" x14ac:dyDescent="0.25">
      <c r="A100" s="236" t="s">
        <v>96</v>
      </c>
      <c r="B100" s="236"/>
      <c r="C100" s="236"/>
      <c r="D100" s="236"/>
      <c r="E100" s="65"/>
      <c r="F100" s="65"/>
      <c r="G100" s="65"/>
      <c r="H100" s="65"/>
      <c r="I100" s="65"/>
      <c r="J100" s="594">
        <f>SUM('0040:4131'!J78)</f>
        <v>249.5</v>
      </c>
      <c r="K100" s="70"/>
      <c r="L100" s="70"/>
      <c r="M100" s="71"/>
      <c r="N100" s="70"/>
      <c r="O100" s="70"/>
      <c r="P100" s="70"/>
      <c r="Q100" s="70"/>
      <c r="R100" s="761" t="s">
        <v>97</v>
      </c>
      <c r="S100" s="761"/>
      <c r="T100" s="197"/>
      <c r="U100" s="197"/>
      <c r="V100" s="197"/>
      <c r="W100" s="197"/>
      <c r="X100" s="197"/>
      <c r="Y100" s="197"/>
      <c r="Z100" s="72"/>
    </row>
    <row r="101" spans="1:26" s="2" customFormat="1" ht="18.75" customHeight="1" x14ac:dyDescent="0.25">
      <c r="A101" s="762" t="s">
        <v>97</v>
      </c>
      <c r="B101" s="762"/>
      <c r="C101" s="236"/>
      <c r="D101" s="236"/>
      <c r="E101" s="65"/>
      <c r="F101" s="65"/>
      <c r="G101" s="65"/>
      <c r="H101" s="65"/>
      <c r="I101" s="65"/>
      <c r="J101" s="594">
        <f>SUM('0040:4131'!J79)</f>
        <v>11.5</v>
      </c>
      <c r="K101" s="70"/>
      <c r="L101" s="70"/>
      <c r="M101" s="71"/>
      <c r="N101" s="70"/>
      <c r="O101" s="70"/>
      <c r="P101" s="70"/>
      <c r="Q101" s="70"/>
      <c r="R101" s="763" t="s">
        <v>98</v>
      </c>
      <c r="S101" s="763"/>
      <c r="T101" s="200"/>
      <c r="U101" s="200"/>
      <c r="V101" s="200"/>
      <c r="W101" s="200"/>
      <c r="X101" s="200"/>
      <c r="Y101" s="197"/>
      <c r="Z101" s="72"/>
    </row>
    <row r="102" spans="1:26" s="2" customFormat="1" ht="17.25" customHeight="1" x14ac:dyDescent="0.25">
      <c r="A102" s="764" t="s">
        <v>98</v>
      </c>
      <c r="B102" s="764"/>
      <c r="C102" s="231"/>
      <c r="D102" s="231"/>
      <c r="E102" s="73"/>
      <c r="F102" s="73"/>
      <c r="G102" s="73"/>
      <c r="H102" s="73"/>
      <c r="I102" s="73"/>
      <c r="J102" s="594">
        <f>SUM('0040:4131'!J80)</f>
        <v>43.360000000000007</v>
      </c>
      <c r="K102" s="70"/>
      <c r="L102" s="70"/>
      <c r="M102" s="71"/>
      <c r="N102" s="70"/>
      <c r="O102" s="70"/>
      <c r="P102" s="70"/>
      <c r="Q102" s="70"/>
      <c r="R102" s="238"/>
      <c r="S102" s="238"/>
      <c r="T102" s="238"/>
      <c r="U102" s="238"/>
      <c r="V102" s="164"/>
      <c r="W102" s="260"/>
      <c r="X102" s="260" t="s">
        <v>99</v>
      </c>
      <c r="Y102" s="201">
        <f>SUM(Y96:Y101)</f>
        <v>0</v>
      </c>
      <c r="Z102" s="72"/>
    </row>
    <row r="103" spans="1:26" s="2" customFormat="1" ht="17.25" customHeight="1" x14ac:dyDescent="0.25">
      <c r="A103" s="233"/>
      <c r="B103" s="233"/>
      <c r="C103" s="233"/>
      <c r="D103" s="233"/>
      <c r="E103" s="233"/>
      <c r="F103" s="233"/>
      <c r="G103" s="31"/>
      <c r="H103" s="232"/>
      <c r="I103" s="232" t="s">
        <v>99</v>
      </c>
      <c r="J103" s="74">
        <f>SUM(J97:J102)</f>
        <v>593.86</v>
      </c>
      <c r="K103" s="70"/>
      <c r="L103" s="70"/>
      <c r="M103" s="71"/>
      <c r="N103" s="70"/>
      <c r="O103" s="70"/>
      <c r="P103" s="70"/>
      <c r="Q103" s="70"/>
      <c r="R103" s="238"/>
      <c r="S103" s="238"/>
      <c r="T103" s="238"/>
      <c r="U103" s="238"/>
      <c r="V103" s="164"/>
      <c r="W103" s="260"/>
      <c r="X103" s="260" t="s">
        <v>100</v>
      </c>
      <c r="Y103" s="201">
        <f>J104</f>
        <v>11461.43</v>
      </c>
      <c r="Z103" s="72"/>
    </row>
    <row r="104" spans="1:26" s="2" customFormat="1" ht="18.75" customHeight="1" x14ac:dyDescent="0.25">
      <c r="A104" s="233"/>
      <c r="B104" s="233"/>
      <c r="C104" s="233"/>
      <c r="D104" s="233"/>
      <c r="E104" s="233"/>
      <c r="F104" s="233"/>
      <c r="G104" s="31"/>
      <c r="H104" s="232"/>
      <c r="I104" s="232" t="s">
        <v>100</v>
      </c>
      <c r="J104" s="74">
        <f>'0040'!J82</f>
        <v>11461.43</v>
      </c>
      <c r="K104" s="70"/>
      <c r="L104" s="70"/>
      <c r="M104" s="71"/>
      <c r="N104" s="70"/>
      <c r="O104" s="70"/>
      <c r="P104" s="70"/>
      <c r="Q104" s="70"/>
      <c r="R104" s="238"/>
      <c r="S104" s="238"/>
      <c r="T104" s="238"/>
      <c r="U104" s="238"/>
      <c r="V104" s="164"/>
      <c r="W104" s="260"/>
      <c r="X104" s="260"/>
      <c r="Y104" s="202"/>
      <c r="Z104" s="72"/>
    </row>
    <row r="105" spans="1:26" s="2" customFormat="1" ht="15.75" customHeight="1" x14ac:dyDescent="0.25">
      <c r="A105" s="233"/>
      <c r="B105" s="233"/>
      <c r="C105" s="233"/>
      <c r="D105" s="233"/>
      <c r="E105" s="233"/>
      <c r="F105" s="233"/>
      <c r="G105" s="31"/>
      <c r="H105" s="232"/>
      <c r="I105" s="232"/>
      <c r="J105" s="75"/>
      <c r="K105" s="70"/>
      <c r="L105" s="70"/>
      <c r="M105" s="71"/>
      <c r="N105" s="70"/>
      <c r="O105" s="70"/>
      <c r="P105" s="70"/>
      <c r="Q105" s="70"/>
      <c r="R105" s="756" t="s">
        <v>101</v>
      </c>
      <c r="S105" s="756"/>
      <c r="T105" s="170"/>
      <c r="U105" s="170"/>
      <c r="V105" s="171">
        <f>F106</f>
        <v>63269727</v>
      </c>
      <c r="W105" s="239" t="s">
        <v>81</v>
      </c>
      <c r="X105" s="176">
        <f>IFERROR(ROUND(Y102/Y103,6),0)</f>
        <v>0</v>
      </c>
      <c r="Y105" s="266">
        <f>ROUND(V105*X105,2)</f>
        <v>0</v>
      </c>
      <c r="Z105" s="72"/>
    </row>
    <row r="106" spans="1:26" s="2" customFormat="1" ht="21" customHeight="1" x14ac:dyDescent="0.25">
      <c r="A106" s="757" t="s">
        <v>101</v>
      </c>
      <c r="B106" s="757"/>
      <c r="C106" s="230"/>
      <c r="D106" s="230"/>
      <c r="F106" s="475">
        <f>'0040'!G84</f>
        <v>63269727</v>
      </c>
      <c r="H106" s="223" t="s">
        <v>81</v>
      </c>
      <c r="I106" s="41">
        <f>IFERROR(ROUND(J103/J104,6),0)</f>
        <v>5.1813999999999999E-2</v>
      </c>
      <c r="J106" s="62">
        <f>ROUND(F106*I106,2)</f>
        <v>3278257.63</v>
      </c>
      <c r="K106" s="70"/>
      <c r="L106" s="70"/>
      <c r="M106" s="71"/>
      <c r="N106" s="70"/>
      <c r="O106" s="70"/>
      <c r="P106" s="70"/>
      <c r="Q106" s="70"/>
      <c r="R106" s="758" t="s">
        <v>171</v>
      </c>
      <c r="S106" s="758"/>
      <c r="T106" s="758"/>
      <c r="U106" s="253"/>
      <c r="V106" s="274"/>
      <c r="W106" s="239"/>
      <c r="X106" s="176"/>
      <c r="Y106" s="266"/>
    </row>
    <row r="107" spans="1:26" x14ac:dyDescent="0.25">
      <c r="A107" s="379"/>
      <c r="D107" s="424"/>
      <c r="E107" s="451"/>
      <c r="F107" s="479"/>
      <c r="G107" s="463"/>
      <c r="H107" s="476"/>
      <c r="I107" s="413"/>
      <c r="K107" s="477"/>
      <c r="L107" s="477"/>
    </row>
    <row r="108" spans="1:26" x14ac:dyDescent="0.25">
      <c r="A108" s="777" t="s">
        <v>483</v>
      </c>
      <c r="B108" s="778"/>
      <c r="C108" s="778"/>
      <c r="D108" s="424"/>
      <c r="E108" s="451" t="s">
        <v>103</v>
      </c>
      <c r="F108" s="475">
        <f>'0040'!G85</f>
        <v>268816278</v>
      </c>
      <c r="G108" s="463" t="s">
        <v>81</v>
      </c>
      <c r="H108" s="476">
        <f>H75</f>
        <v>0.104896</v>
      </c>
      <c r="I108" s="413">
        <f>SUM('0040:4131'!J85)</f>
        <v>29099899.710000005</v>
      </c>
      <c r="K108" s="477">
        <f>F108*H108</f>
        <v>28197752.297088001</v>
      </c>
      <c r="L108" s="477">
        <f>I108-K108</f>
        <v>902147.4129120037</v>
      </c>
    </row>
    <row r="109" spans="1:26" x14ac:dyDescent="0.25">
      <c r="A109" s="379"/>
      <c r="B109" s="424"/>
      <c r="C109" s="424"/>
      <c r="D109" s="424"/>
      <c r="E109" s="451"/>
      <c r="F109" s="479"/>
      <c r="G109" s="463"/>
      <c r="H109" s="476"/>
      <c r="I109" s="413">
        <f>SUM('[2]0040:4131'!I95)</f>
        <v>0</v>
      </c>
    </row>
    <row r="110" spans="1:26" x14ac:dyDescent="0.25">
      <c r="A110" s="777" t="s">
        <v>484</v>
      </c>
      <c r="B110" s="778"/>
      <c r="C110" s="778"/>
      <c r="D110" s="424"/>
      <c r="E110" s="451" t="s">
        <v>103</v>
      </c>
      <c r="F110" s="475">
        <f>'[2]1461'!F96</f>
        <v>0</v>
      </c>
      <c r="G110" s="463" t="s">
        <v>81</v>
      </c>
      <c r="H110" s="476">
        <f>H75</f>
        <v>0.104896</v>
      </c>
      <c r="I110" s="413">
        <f>SUM('[2]0040:4131'!I96)</f>
        <v>0</v>
      </c>
    </row>
    <row r="111" spans="1:26" x14ac:dyDescent="0.25">
      <c r="A111" s="376"/>
    </row>
    <row r="112" spans="1:26" x14ac:dyDescent="0.25">
      <c r="A112" s="379" t="s">
        <v>485</v>
      </c>
      <c r="B112" s="424"/>
      <c r="C112" s="424"/>
      <c r="D112" s="424"/>
      <c r="E112" s="451" t="s">
        <v>84</v>
      </c>
      <c r="F112" s="475">
        <f>'[2]1461'!F98</f>
        <v>0</v>
      </c>
      <c r="G112" s="463" t="s">
        <v>81</v>
      </c>
      <c r="H112" s="476">
        <f>H72</f>
        <v>9.6103999999999995E-2</v>
      </c>
      <c r="I112" s="413">
        <f>SUM('[2]0040:4131'!I98)</f>
        <v>0</v>
      </c>
    </row>
    <row r="113" spans="1:9" x14ac:dyDescent="0.25">
      <c r="A113" s="379"/>
      <c r="B113" s="424"/>
      <c r="C113" s="424"/>
      <c r="D113" s="424"/>
      <c r="E113" s="451"/>
      <c r="F113" s="479"/>
      <c r="G113" s="463"/>
      <c r="H113" s="476"/>
      <c r="I113" s="413"/>
    </row>
    <row r="114" spans="1:9" x14ac:dyDescent="0.25">
      <c r="A114" s="379"/>
      <c r="B114" s="424"/>
      <c r="C114" s="424"/>
      <c r="D114" s="424"/>
      <c r="E114" s="451"/>
      <c r="F114" s="479"/>
      <c r="G114" s="463"/>
      <c r="H114" s="476"/>
      <c r="I114" s="413"/>
    </row>
    <row r="115" spans="1:9" x14ac:dyDescent="0.25">
      <c r="A115" s="478" t="s">
        <v>106</v>
      </c>
    </row>
    <row r="116" spans="1:9" x14ac:dyDescent="0.25">
      <c r="B116" s="424"/>
      <c r="C116" s="782" t="s">
        <v>9</v>
      </c>
      <c r="D116" s="782"/>
      <c r="E116" s="424"/>
      <c r="F116" s="465" t="s">
        <v>389</v>
      </c>
      <c r="G116" s="424"/>
      <c r="H116" s="424"/>
      <c r="I116" s="424"/>
    </row>
    <row r="117" spans="1:9" x14ac:dyDescent="0.25">
      <c r="A117" s="376"/>
      <c r="B117" s="482"/>
      <c r="C117" s="784" t="s">
        <v>390</v>
      </c>
      <c r="D117" s="784"/>
      <c r="E117" s="483" t="s">
        <v>391</v>
      </c>
      <c r="F117" s="484" t="s">
        <v>392</v>
      </c>
      <c r="G117" s="385"/>
      <c r="H117" s="385"/>
      <c r="I117" s="385"/>
    </row>
    <row r="118" spans="1:9" x14ac:dyDescent="0.25">
      <c r="A118" s="422"/>
      <c r="B118" s="438" t="s">
        <v>393</v>
      </c>
      <c r="C118" s="792">
        <f>SUM('0040:4131'!B90)</f>
        <v>7791.9908000000005</v>
      </c>
      <c r="D118" s="792">
        <f>SUM('[2]1461:4131'!D101)</f>
        <v>0</v>
      </c>
      <c r="E118" s="457">
        <f>[2]Consolidated!$E$105</f>
        <v>1.0355000000000001</v>
      </c>
      <c r="F118" s="485">
        <f>'0040'!G90</f>
        <v>958.42</v>
      </c>
      <c r="G118" s="465" t="s">
        <v>68</v>
      </c>
      <c r="H118" s="413">
        <f>SUM('0040:4131'!I90)</f>
        <v>7733113.8200000003</v>
      </c>
      <c r="I118" s="426"/>
    </row>
    <row r="119" spans="1:9" x14ac:dyDescent="0.25">
      <c r="A119" s="486"/>
      <c r="B119" s="486" t="s">
        <v>394</v>
      </c>
      <c r="C119" s="792">
        <f>SUM('0040:4131'!B91)</f>
        <v>9539.2456000000002</v>
      </c>
      <c r="D119" s="792">
        <f>SUM('[2]1461:4131'!D102)</f>
        <v>0</v>
      </c>
      <c r="E119" s="457">
        <f>[2]Consolidated!$E$106</f>
        <v>1.0355000000000001</v>
      </c>
      <c r="F119" s="485">
        <f>'0040'!G91</f>
        <v>915.09</v>
      </c>
      <c r="G119" s="465" t="s">
        <v>68</v>
      </c>
      <c r="H119" s="413">
        <f>SUM('0040:4131'!I91)</f>
        <v>9039157.2799999993</v>
      </c>
    </row>
    <row r="120" spans="1:9" ht="16.5" thickBot="1" x14ac:dyDescent="0.3">
      <c r="A120" s="438"/>
      <c r="B120" s="438" t="s">
        <v>395</v>
      </c>
      <c r="C120" s="793">
        <f>SUM('0040:4131'!B92)</f>
        <v>7464.7312999999986</v>
      </c>
      <c r="D120" s="793">
        <f>SUM('[2]1461:4131'!D103)</f>
        <v>0</v>
      </c>
      <c r="E120" s="457">
        <f>[2]Consolidated!$E$107</f>
        <v>1.0355000000000001</v>
      </c>
      <c r="F120" s="485">
        <f>'0040'!G92</f>
        <v>917.3</v>
      </c>
      <c r="G120" s="465" t="s">
        <v>68</v>
      </c>
      <c r="H120" s="413">
        <f>SUM('0040:4131'!I92)</f>
        <v>7090480.6699999999</v>
      </c>
    </row>
    <row r="121" spans="1:9" ht="16.5" thickTop="1" x14ac:dyDescent="0.25">
      <c r="A121" s="487"/>
      <c r="B121" s="488" t="s">
        <v>396</v>
      </c>
      <c r="C121" s="792">
        <f>SUM('0040:4131'!B93)</f>
        <v>24795.967700000001</v>
      </c>
      <c r="D121" s="792">
        <f>SUM('[2]1461:4131'!D104)</f>
        <v>0</v>
      </c>
      <c r="E121" s="489"/>
      <c r="F121" s="489"/>
      <c r="G121" s="489"/>
      <c r="H121" s="490" t="s">
        <v>397</v>
      </c>
      <c r="I121" s="413">
        <f>SUM('0040:4131'!J93)</f>
        <v>23862751.77</v>
      </c>
    </row>
    <row r="122" spans="1:9" x14ac:dyDescent="0.25">
      <c r="A122" s="788" t="s">
        <v>113</v>
      </c>
      <c r="B122" s="788"/>
      <c r="C122" s="788"/>
      <c r="D122" s="788"/>
      <c r="E122" s="788"/>
      <c r="F122" s="788"/>
      <c r="G122" s="788"/>
      <c r="H122" s="788"/>
      <c r="I122" s="788"/>
    </row>
    <row r="123" spans="1:9" x14ac:dyDescent="0.25">
      <c r="A123" s="491"/>
      <c r="B123" s="491"/>
      <c r="C123" s="491"/>
      <c r="D123" s="491"/>
      <c r="E123" s="491"/>
      <c r="F123" s="491"/>
      <c r="G123" s="491"/>
      <c r="H123" s="491"/>
      <c r="I123" s="491"/>
    </row>
    <row r="124" spans="1:9" x14ac:dyDescent="0.25">
      <c r="A124" s="379" t="s">
        <v>114</v>
      </c>
      <c r="C124" s="451"/>
      <c r="D124" s="424"/>
      <c r="E124" s="451" t="s">
        <v>115</v>
      </c>
      <c r="F124" s="789"/>
      <c r="G124" s="789"/>
      <c r="H124" s="789"/>
      <c r="I124" s="789"/>
    </row>
    <row r="125" spans="1:9" x14ac:dyDescent="0.25">
      <c r="B125" s="424"/>
      <c r="C125" s="399" t="s">
        <v>156</v>
      </c>
      <c r="D125" s="456" t="s">
        <v>157</v>
      </c>
      <c r="E125" s="400" t="s">
        <v>398</v>
      </c>
      <c r="F125" s="451"/>
      <c r="G125" s="451"/>
      <c r="H125" s="451"/>
      <c r="I125" s="451"/>
    </row>
    <row r="126" spans="1:9" x14ac:dyDescent="0.25">
      <c r="B126" s="424"/>
      <c r="C126" s="428" t="s">
        <v>54</v>
      </c>
      <c r="D126" s="428" t="s">
        <v>54</v>
      </c>
      <c r="E126" s="403" t="s">
        <v>54</v>
      </c>
      <c r="F126" s="451"/>
      <c r="G126" s="451"/>
      <c r="H126" s="451"/>
      <c r="I126" s="451"/>
    </row>
    <row r="127" spans="1:9" x14ac:dyDescent="0.25">
      <c r="A127" s="790" t="s">
        <v>399</v>
      </c>
      <c r="B127" s="791"/>
      <c r="C127" s="414">
        <f>SUM('0040:4131'!C97)</f>
        <v>3861</v>
      </c>
      <c r="D127" s="414">
        <f>SUM('0040:4131'!D97)</f>
        <v>3948</v>
      </c>
      <c r="E127" s="411">
        <f>SUM('0040:4131'!E97)</f>
        <v>3904.5</v>
      </c>
      <c r="F127" s="492" t="s">
        <v>117</v>
      </c>
      <c r="G127" s="493">
        <f>'0040'!I97</f>
        <v>617</v>
      </c>
      <c r="I127" s="413">
        <f>SUM('0040:4131'!J97)</f>
        <v>2409076.5</v>
      </c>
    </row>
    <row r="128" spans="1:9" x14ac:dyDescent="0.25">
      <c r="A128" s="790" t="s">
        <v>400</v>
      </c>
      <c r="B128" s="791"/>
      <c r="C128" s="414">
        <f>SUM('0040:4131'!C98)</f>
        <v>2</v>
      </c>
      <c r="D128" s="414">
        <f>SUM('0040:4131'!D98)</f>
        <v>1</v>
      </c>
      <c r="E128" s="411">
        <f>SUM('[2]0040:4131'!E114)</f>
        <v>1.5</v>
      </c>
      <c r="F128" s="492" t="s">
        <v>117</v>
      </c>
      <c r="G128" s="493">
        <f>'0040'!I98</f>
        <v>1870</v>
      </c>
      <c r="I128" s="413">
        <f>SUM('0040:4131'!J98)</f>
        <v>2805</v>
      </c>
    </row>
    <row r="129" spans="1:10" hidden="1" x14ac:dyDescent="0.25">
      <c r="A129" s="494"/>
      <c r="B129" s="494"/>
      <c r="C129" s="495"/>
      <c r="D129" s="495"/>
      <c r="E129" s="495"/>
      <c r="F129" s="495"/>
      <c r="G129" s="496"/>
      <c r="H129" s="497"/>
      <c r="I129" s="413"/>
    </row>
    <row r="130" spans="1:10" x14ac:dyDescent="0.25">
      <c r="A130" s="494"/>
      <c r="B130" s="494"/>
      <c r="C130" s="495"/>
      <c r="D130" s="495"/>
      <c r="E130" s="495"/>
      <c r="F130" s="495"/>
      <c r="G130" s="496"/>
      <c r="H130" s="497"/>
      <c r="I130" s="413"/>
    </row>
    <row r="131" spans="1:10" ht="15.75" hidden="1" customHeight="1" x14ac:dyDescent="0.25">
      <c r="A131" s="777" t="s">
        <v>401</v>
      </c>
      <c r="B131" s="778"/>
      <c r="C131" s="778"/>
      <c r="D131" s="424"/>
      <c r="E131" s="465" t="s">
        <v>120</v>
      </c>
      <c r="F131" s="782"/>
      <c r="G131" s="782"/>
      <c r="H131" s="782"/>
      <c r="I131" s="782"/>
    </row>
    <row r="132" spans="1:10" hidden="1" x14ac:dyDescent="0.25">
      <c r="B132" s="424"/>
      <c r="C132" s="784" t="s">
        <v>122</v>
      </c>
      <c r="D132" s="784"/>
      <c r="E132" s="784"/>
      <c r="F132" s="463"/>
      <c r="G132" s="463"/>
      <c r="H132" s="465" t="s">
        <v>402</v>
      </c>
      <c r="I132" s="463"/>
    </row>
    <row r="133" spans="1:10" hidden="1" x14ac:dyDescent="0.25">
      <c r="B133" s="424"/>
      <c r="C133" s="399" t="str">
        <f>C125</f>
        <v>Oct 2024</v>
      </c>
      <c r="D133" s="399" t="str">
        <f>D125</f>
        <v>Feb 2025</v>
      </c>
      <c r="E133" s="498" t="s">
        <v>125</v>
      </c>
      <c r="F133" s="785" t="s">
        <v>403</v>
      </c>
      <c r="G133" s="782"/>
      <c r="H133" s="463" t="s">
        <v>404</v>
      </c>
      <c r="I133" s="463"/>
    </row>
    <row r="134" spans="1:10" ht="15.75" hidden="1" customHeight="1" x14ac:dyDescent="0.25">
      <c r="A134" s="784" t="s">
        <v>121</v>
      </c>
      <c r="B134" s="784"/>
      <c r="C134" s="403" t="s">
        <v>54</v>
      </c>
      <c r="D134" s="403" t="s">
        <v>54</v>
      </c>
      <c r="E134" s="461" t="s">
        <v>54</v>
      </c>
      <c r="F134" s="784" t="s">
        <v>389</v>
      </c>
      <c r="G134" s="784"/>
      <c r="H134" s="461" t="s">
        <v>389</v>
      </c>
      <c r="I134" s="461" t="s">
        <v>125</v>
      </c>
    </row>
    <row r="135" spans="1:10" ht="15.75" hidden="1" customHeight="1" x14ac:dyDescent="0.25">
      <c r="A135" s="786" t="s">
        <v>126</v>
      </c>
      <c r="B135" s="786"/>
      <c r="C135" s="410">
        <v>0</v>
      </c>
      <c r="D135" s="410">
        <v>0</v>
      </c>
      <c r="E135" s="417">
        <f>IF(D31=0,C135*2,C135+D135)</f>
        <v>0</v>
      </c>
      <c r="F135" s="787">
        <v>0</v>
      </c>
      <c r="G135" s="787"/>
      <c r="H135" s="499">
        <f>IF(C135=0,0,125)</f>
        <v>0</v>
      </c>
      <c r="I135" s="413">
        <f>ROUND((H135+F135)*E135,2)</f>
        <v>0</v>
      </c>
    </row>
    <row r="136" spans="1:10" ht="15.75" hidden="1" customHeight="1" x14ac:dyDescent="0.25">
      <c r="A136" s="779" t="s">
        <v>127</v>
      </c>
      <c r="B136" s="779"/>
      <c r="C136" s="414">
        <v>0</v>
      </c>
      <c r="D136" s="414">
        <v>0</v>
      </c>
      <c r="E136" s="411">
        <f>IF(D32=0,C136*2,C136+D136)</f>
        <v>0</v>
      </c>
      <c r="F136" s="780">
        <f>ROUND(F135/2,2)</f>
        <v>0</v>
      </c>
      <c r="G136" s="780"/>
      <c r="H136" s="499">
        <f>IF(C136=0,0,62.5)</f>
        <v>0</v>
      </c>
      <c r="I136" s="413">
        <f>ROUND((H136+F136)*E136,2)</f>
        <v>0</v>
      </c>
    </row>
    <row r="137" spans="1:10" ht="15.75" hidden="1" customHeight="1" x14ac:dyDescent="0.25">
      <c r="A137" s="779" t="s">
        <v>128</v>
      </c>
      <c r="B137" s="779"/>
      <c r="C137" s="414">
        <v>0</v>
      </c>
      <c r="D137" s="414">
        <v>0</v>
      </c>
      <c r="E137" s="411">
        <f>IF(D33=0,C137*2,C137+D137)</f>
        <v>0</v>
      </c>
      <c r="F137" s="781"/>
      <c r="G137" s="781"/>
      <c r="H137" s="500">
        <f>IF(H135&gt;0,436,0)</f>
        <v>0</v>
      </c>
      <c r="I137" s="413">
        <f>ROUND(H137*E137,2)</f>
        <v>0</v>
      </c>
    </row>
    <row r="138" spans="1:10" ht="16.5" hidden="1" customHeight="1" x14ac:dyDescent="0.25">
      <c r="A138" s="782" t="s">
        <v>125</v>
      </c>
      <c r="B138" s="782"/>
      <c r="C138" s="495"/>
      <c r="D138" s="495"/>
      <c r="E138" s="495"/>
      <c r="F138" s="495"/>
      <c r="G138" s="495"/>
      <c r="H138" s="495"/>
      <c r="I138" s="420">
        <f>SUM(I135:I137)</f>
        <v>0</v>
      </c>
    </row>
    <row r="139" spans="1:10" hidden="1" x14ac:dyDescent="0.25">
      <c r="A139" s="463"/>
      <c r="B139" s="463"/>
      <c r="C139" s="495"/>
      <c r="D139" s="495"/>
      <c r="E139" s="495"/>
      <c r="F139" s="495"/>
      <c r="G139" s="495"/>
      <c r="H139" s="495"/>
      <c r="I139" s="413"/>
    </row>
    <row r="140" spans="1:10" x14ac:dyDescent="0.25">
      <c r="A140" s="777" t="s">
        <v>486</v>
      </c>
      <c r="B140" s="778"/>
      <c r="C140" s="778"/>
      <c r="D140" s="424"/>
      <c r="E140" s="501" t="s">
        <v>130</v>
      </c>
      <c r="F140" s="783"/>
      <c r="G140" s="783"/>
      <c r="H140" s="783"/>
      <c r="I140" s="436">
        <f>SUM('[2]1461:4131'!I126)</f>
        <v>0</v>
      </c>
    </row>
    <row r="141" spans="1:10" x14ac:dyDescent="0.25">
      <c r="B141" s="424"/>
      <c r="C141" s="424"/>
      <c r="D141" s="424"/>
      <c r="E141" s="501"/>
      <c r="F141" s="501"/>
      <c r="G141" s="501"/>
      <c r="H141" s="501"/>
      <c r="I141" s="411"/>
    </row>
    <row r="142" spans="1:10" x14ac:dyDescent="0.25">
      <c r="A142" s="776" t="s">
        <v>125</v>
      </c>
      <c r="B142" s="776"/>
      <c r="C142" s="776"/>
      <c r="D142" s="776"/>
      <c r="E142" s="776"/>
      <c r="F142" s="776"/>
      <c r="G142" s="776"/>
      <c r="H142" s="776"/>
      <c r="I142" s="437">
        <f>SUM('0040:4131'!J107)</f>
        <v>210433065.33000001</v>
      </c>
      <c r="J142" s="502"/>
    </row>
    <row r="143" spans="1:10" x14ac:dyDescent="0.25">
      <c r="A143" s="422"/>
      <c r="B143" s="422"/>
      <c r="C143" s="422"/>
      <c r="D143" s="422"/>
      <c r="E143" s="422"/>
      <c r="F143" s="422"/>
      <c r="G143" s="422"/>
      <c r="H143" s="422"/>
      <c r="I143" s="413"/>
      <c r="J143" s="502"/>
    </row>
    <row r="144" spans="1:10" x14ac:dyDescent="0.25">
      <c r="A144" s="379" t="s">
        <v>405</v>
      </c>
      <c r="B144" s="422"/>
      <c r="C144" s="422"/>
      <c r="D144" s="422"/>
      <c r="E144" s="422"/>
      <c r="F144" s="422"/>
      <c r="G144" s="422"/>
      <c r="H144" s="422"/>
      <c r="I144" s="437">
        <f>SUM('0040:4131'!J109)</f>
        <v>200503885.85999998</v>
      </c>
      <c r="J144" s="502"/>
    </row>
    <row r="145" spans="1:13" x14ac:dyDescent="0.25">
      <c r="A145" s="422"/>
      <c r="B145" s="422"/>
      <c r="C145" s="422"/>
      <c r="D145" s="422"/>
      <c r="E145" s="422"/>
      <c r="F145" s="422"/>
      <c r="G145" s="422"/>
      <c r="H145" s="422"/>
      <c r="I145" s="413"/>
      <c r="J145" s="502"/>
    </row>
    <row r="146" spans="1:13" x14ac:dyDescent="0.25">
      <c r="A146" s="777" t="s">
        <v>406</v>
      </c>
      <c r="B146" s="778"/>
      <c r="C146" s="778"/>
      <c r="D146" s="778"/>
      <c r="E146" s="778"/>
      <c r="F146" s="778"/>
      <c r="G146" s="778"/>
      <c r="H146" s="379" t="s">
        <v>132</v>
      </c>
      <c r="I146" s="503"/>
      <c r="J146" s="502"/>
    </row>
    <row r="147" spans="1:13" x14ac:dyDescent="0.25">
      <c r="A147" s="778" t="s">
        <v>135</v>
      </c>
      <c r="B147" s="778"/>
      <c r="C147" s="778"/>
      <c r="D147" s="778"/>
      <c r="E147" s="778"/>
      <c r="F147" s="778"/>
      <c r="G147" s="778"/>
      <c r="H147" s="504"/>
      <c r="I147" s="437">
        <f>SUM('0040:4131'!J111)</f>
        <v>8663690.2100000009</v>
      </c>
    </row>
    <row r="148" spans="1:13" x14ac:dyDescent="0.25">
      <c r="B148" s="424"/>
      <c r="C148" s="424"/>
      <c r="D148" s="424"/>
      <c r="E148" s="424"/>
      <c r="F148" s="424"/>
      <c r="G148" s="424"/>
      <c r="H148" s="495"/>
      <c r="I148" s="413"/>
    </row>
    <row r="149" spans="1:13" x14ac:dyDescent="0.25">
      <c r="A149" s="376" t="s">
        <v>185</v>
      </c>
      <c r="B149" s="424"/>
      <c r="C149" s="424"/>
      <c r="D149" s="424"/>
      <c r="E149" s="424"/>
      <c r="F149" s="424"/>
      <c r="G149" s="505"/>
      <c r="H149" s="506">
        <f>IF(H147=1,I147,I144)</f>
        <v>200503885.85999998</v>
      </c>
      <c r="I149" s="437">
        <f>SUM('0040:4131'!I114)</f>
        <v>179280777.04999998</v>
      </c>
    </row>
    <row r="150" spans="1:13" x14ac:dyDescent="0.25">
      <c r="B150" s="424"/>
      <c r="C150" s="424"/>
      <c r="D150" s="424"/>
      <c r="E150" s="424"/>
      <c r="F150" s="424"/>
      <c r="G150" s="424"/>
      <c r="H150" s="495"/>
      <c r="I150" s="413"/>
    </row>
    <row r="151" spans="1:13" x14ac:dyDescent="0.25">
      <c r="A151" s="507" t="s">
        <v>186</v>
      </c>
      <c r="B151" s="508"/>
      <c r="C151" s="508"/>
      <c r="D151" s="508"/>
      <c r="E151" s="508"/>
      <c r="F151" s="508"/>
      <c r="G151" s="508"/>
      <c r="H151" s="509"/>
      <c r="I151" s="510">
        <f>SUM('0040:4131'!J116)</f>
        <v>207223123.89000005</v>
      </c>
    </row>
    <row r="152" spans="1:13" x14ac:dyDescent="0.25">
      <c r="B152" s="424"/>
      <c r="C152" s="424"/>
      <c r="D152" s="424"/>
      <c r="E152" s="424"/>
      <c r="F152" s="424"/>
      <c r="G152" s="424"/>
      <c r="H152" s="495"/>
      <c r="I152" s="413"/>
    </row>
    <row r="153" spans="1:13" x14ac:dyDescent="0.25">
      <c r="A153" s="376" t="s">
        <v>187</v>
      </c>
      <c r="B153" s="424"/>
      <c r="C153" s="511"/>
      <c r="D153" s="424"/>
      <c r="F153" s="424"/>
      <c r="G153" s="424"/>
      <c r="H153" s="495"/>
      <c r="I153" s="512">
        <f>SUM('0040:4131'!J118)</f>
        <v>-33898181.614</v>
      </c>
      <c r="K153" s="477"/>
    </row>
    <row r="154" spans="1:13" x14ac:dyDescent="0.25">
      <c r="B154" s="424"/>
      <c r="C154" s="424"/>
      <c r="D154" s="424"/>
      <c r="E154" s="424"/>
      <c r="F154" s="424"/>
      <c r="G154" s="424"/>
      <c r="H154" s="495"/>
      <c r="I154" s="413"/>
    </row>
    <row r="155" spans="1:13" x14ac:dyDescent="0.25">
      <c r="A155" s="376" t="s">
        <v>188</v>
      </c>
      <c r="B155" s="424"/>
      <c r="C155" s="424"/>
      <c r="D155" s="424"/>
      <c r="E155" s="424"/>
      <c r="F155" s="424"/>
      <c r="G155" s="424"/>
      <c r="H155" s="495"/>
      <c r="I155" s="413">
        <f>SUM('0040:4131'!J114)</f>
        <v>-3209941.4400000004</v>
      </c>
    </row>
    <row r="156" spans="1:13" x14ac:dyDescent="0.25">
      <c r="A156" s="376"/>
      <c r="B156" s="424"/>
      <c r="C156" s="424"/>
      <c r="D156" s="424"/>
      <c r="E156" s="424"/>
      <c r="F156" s="424"/>
      <c r="G156" s="424"/>
      <c r="H156" s="495"/>
      <c r="I156" s="413"/>
    </row>
    <row r="157" spans="1:13" x14ac:dyDescent="0.25">
      <c r="A157" s="376" t="s">
        <v>189</v>
      </c>
      <c r="B157" s="424"/>
      <c r="C157" s="424"/>
      <c r="D157" s="424"/>
      <c r="E157" s="424"/>
      <c r="F157" s="424"/>
      <c r="G157" s="424"/>
      <c r="H157" s="495"/>
      <c r="I157" s="513">
        <f>'0040'!J122</f>
        <v>10</v>
      </c>
    </row>
    <row r="158" spans="1:13" x14ac:dyDescent="0.25">
      <c r="B158" s="424"/>
      <c r="C158" s="424"/>
      <c r="D158" s="424"/>
      <c r="E158" s="424"/>
      <c r="F158" s="424"/>
      <c r="G158" s="424"/>
      <c r="H158" s="495"/>
      <c r="I158" s="413"/>
    </row>
    <row r="159" spans="1:13" ht="16.5" thickBot="1" x14ac:dyDescent="0.3">
      <c r="A159" s="376" t="s">
        <v>190</v>
      </c>
      <c r="B159" s="424"/>
      <c r="C159" s="424"/>
      <c r="D159" s="424"/>
      <c r="E159" s="424"/>
      <c r="F159" s="424"/>
      <c r="G159" s="424"/>
      <c r="H159" s="495"/>
      <c r="I159" s="514">
        <f>SUM('0040:4131'!J124)</f>
        <v>17349100.219999999</v>
      </c>
      <c r="K159" s="481"/>
      <c r="L159" s="481"/>
      <c r="M159" s="481"/>
    </row>
    <row r="160" spans="1:13" s="522" customFormat="1" ht="16.5" thickTop="1" x14ac:dyDescent="0.25">
      <c r="A160" s="515"/>
      <c r="B160" s="515"/>
      <c r="C160" s="516"/>
      <c r="D160" s="517"/>
      <c r="E160" s="518"/>
      <c r="F160" s="392"/>
      <c r="G160" s="519"/>
      <c r="H160" s="520"/>
      <c r="I160" s="521"/>
    </row>
    <row r="161" spans="1:8" x14ac:dyDescent="0.25">
      <c r="A161" s="775" t="s">
        <v>136</v>
      </c>
      <c r="B161" s="775"/>
      <c r="C161" s="775"/>
      <c r="D161" s="775"/>
      <c r="E161" s="775"/>
      <c r="F161" s="775"/>
      <c r="G161" s="775"/>
      <c r="H161" s="775"/>
    </row>
    <row r="162" spans="1:8" ht="26.25" customHeight="1" x14ac:dyDescent="0.25">
      <c r="A162" s="774" t="s">
        <v>407</v>
      </c>
      <c r="B162" s="774"/>
      <c r="C162" s="774"/>
      <c r="D162" s="774"/>
      <c r="E162" s="774"/>
      <c r="F162" s="774"/>
      <c r="G162" s="774"/>
      <c r="H162" s="774"/>
    </row>
    <row r="163" spans="1:8" x14ac:dyDescent="0.25">
      <c r="A163" s="775" t="s">
        <v>408</v>
      </c>
      <c r="B163" s="775"/>
      <c r="C163" s="775"/>
      <c r="D163" s="775"/>
      <c r="E163" s="775"/>
      <c r="F163" s="775"/>
      <c r="G163" s="775"/>
      <c r="H163" s="775"/>
    </row>
    <row r="164" spans="1:8" x14ac:dyDescent="0.25">
      <c r="A164" s="775" t="s">
        <v>409</v>
      </c>
      <c r="B164" s="775"/>
      <c r="C164" s="775"/>
      <c r="D164" s="775"/>
      <c r="E164" s="775"/>
      <c r="F164" s="775"/>
      <c r="G164" s="775"/>
      <c r="H164" s="775"/>
    </row>
    <row r="165" spans="1:8" x14ac:dyDescent="0.25">
      <c r="A165" s="775" t="s">
        <v>410</v>
      </c>
      <c r="B165" s="775"/>
      <c r="C165" s="775"/>
      <c r="D165" s="775"/>
      <c r="E165" s="775"/>
      <c r="F165" s="775"/>
      <c r="G165" s="775"/>
      <c r="H165" s="775"/>
    </row>
    <row r="166" spans="1:8" x14ac:dyDescent="0.25">
      <c r="A166" s="775" t="s">
        <v>411</v>
      </c>
      <c r="B166" s="775"/>
      <c r="C166" s="775"/>
      <c r="D166" s="775"/>
      <c r="E166" s="775"/>
      <c r="F166" s="775"/>
      <c r="G166" s="775"/>
      <c r="H166" s="775"/>
    </row>
    <row r="167" spans="1:8" x14ac:dyDescent="0.25">
      <c r="A167" s="775" t="s">
        <v>412</v>
      </c>
      <c r="B167" s="775"/>
      <c r="C167" s="775"/>
      <c r="D167" s="775"/>
      <c r="E167" s="775"/>
      <c r="F167" s="775"/>
      <c r="G167" s="775"/>
      <c r="H167" s="775"/>
    </row>
    <row r="168" spans="1:8" ht="26.25" customHeight="1" x14ac:dyDescent="0.25">
      <c r="A168" s="774" t="s">
        <v>413</v>
      </c>
      <c r="B168" s="774"/>
      <c r="C168" s="774"/>
      <c r="D168" s="774"/>
      <c r="E168" s="774"/>
      <c r="F168" s="774"/>
      <c r="G168" s="774"/>
      <c r="H168" s="774"/>
    </row>
    <row r="169" spans="1:8" ht="26.25" customHeight="1" x14ac:dyDescent="0.25">
      <c r="A169" s="774" t="s">
        <v>144</v>
      </c>
      <c r="B169" s="774"/>
      <c r="C169" s="774"/>
      <c r="D169" s="774"/>
      <c r="E169" s="774"/>
      <c r="F169" s="774"/>
      <c r="G169" s="774"/>
      <c r="H169" s="774"/>
    </row>
    <row r="170" spans="1:8" ht="26.25" customHeight="1" x14ac:dyDescent="0.25">
      <c r="A170" s="774" t="s">
        <v>414</v>
      </c>
      <c r="B170" s="774"/>
      <c r="C170" s="774"/>
      <c r="D170" s="774"/>
      <c r="E170" s="774"/>
      <c r="F170" s="774"/>
      <c r="G170" s="774"/>
      <c r="H170" s="774"/>
    </row>
    <row r="171" spans="1:8" ht="16.5" customHeight="1" x14ac:dyDescent="0.25">
      <c r="A171" s="523" t="s">
        <v>146</v>
      </c>
      <c r="B171" s="523"/>
      <c r="C171" s="523"/>
      <c r="D171" s="523"/>
      <c r="E171" s="523"/>
      <c r="F171" s="523"/>
      <c r="G171" s="523"/>
      <c r="H171" s="523"/>
    </row>
    <row r="172" spans="1:8" ht="26.25" customHeight="1" x14ac:dyDescent="0.25">
      <c r="A172" s="774" t="s">
        <v>147</v>
      </c>
      <c r="B172" s="774"/>
      <c r="C172" s="774"/>
      <c r="D172" s="774"/>
      <c r="E172" s="774"/>
      <c r="F172" s="774"/>
      <c r="G172" s="774"/>
      <c r="H172" s="774"/>
    </row>
    <row r="173" spans="1:8" ht="26.25" customHeight="1" x14ac:dyDescent="0.25">
      <c r="A173" s="774" t="s">
        <v>148</v>
      </c>
      <c r="B173" s="774"/>
      <c r="C173" s="774"/>
      <c r="D173" s="774"/>
      <c r="E173" s="774"/>
      <c r="F173" s="774"/>
      <c r="G173" s="774"/>
      <c r="H173" s="774"/>
    </row>
    <row r="174" spans="1:8" x14ac:dyDescent="0.25">
      <c r="A174" s="765" t="s">
        <v>149</v>
      </c>
      <c r="B174" s="774"/>
      <c r="C174" s="774"/>
      <c r="D174" s="774"/>
      <c r="E174" s="774"/>
      <c r="F174" s="774"/>
      <c r="G174" s="774"/>
      <c r="H174" s="774"/>
    </row>
    <row r="175" spans="1:8" ht="54.75" customHeight="1" x14ac:dyDescent="0.25">
      <c r="A175" s="766" t="s">
        <v>150</v>
      </c>
      <c r="B175" s="766"/>
      <c r="C175" s="766"/>
      <c r="D175" s="766"/>
      <c r="E175" s="766"/>
      <c r="F175" s="766"/>
      <c r="G175" s="766"/>
      <c r="H175" s="766"/>
    </row>
    <row r="176" spans="1:8" ht="42.75" customHeight="1" x14ac:dyDescent="0.25">
      <c r="A176" s="766" t="s">
        <v>151</v>
      </c>
      <c r="B176" s="766"/>
      <c r="C176" s="766"/>
      <c r="D176" s="766"/>
      <c r="E176" s="766"/>
      <c r="F176" s="766"/>
      <c r="G176" s="766"/>
      <c r="H176" s="766"/>
    </row>
    <row r="177" spans="1:8" x14ac:dyDescent="0.25">
      <c r="A177" s="524"/>
      <c r="B177" s="524"/>
      <c r="C177" s="524"/>
      <c r="D177" s="524"/>
      <c r="E177" s="524"/>
      <c r="F177" s="524"/>
      <c r="G177" s="524"/>
      <c r="H177" s="524"/>
    </row>
    <row r="178" spans="1:8" x14ac:dyDescent="0.25">
      <c r="A178" s="765" t="s">
        <v>152</v>
      </c>
      <c r="B178" s="765"/>
      <c r="C178" s="765"/>
      <c r="D178" s="765"/>
      <c r="E178" s="765"/>
      <c r="F178" s="765"/>
      <c r="G178" s="765"/>
      <c r="H178" s="765"/>
    </row>
    <row r="179" spans="1:8" ht="26.25" customHeight="1" x14ac:dyDescent="0.25">
      <c r="A179" s="766" t="s">
        <v>153</v>
      </c>
      <c r="B179" s="766"/>
      <c r="C179" s="766"/>
      <c r="D179" s="766"/>
      <c r="E179" s="766"/>
      <c r="F179" s="766"/>
      <c r="G179" s="766"/>
      <c r="H179" s="766"/>
    </row>
    <row r="180" spans="1:8" x14ac:dyDescent="0.25">
      <c r="A180" s="767" t="s">
        <v>154</v>
      </c>
      <c r="B180" s="767"/>
      <c r="C180" s="767"/>
      <c r="D180" s="767"/>
      <c r="E180" s="767"/>
      <c r="F180" s="767"/>
      <c r="G180" s="767"/>
      <c r="H180" s="767"/>
    </row>
  </sheetData>
  <mergeCells count="130">
    <mergeCell ref="A13:B13"/>
    <mergeCell ref="F13:G13"/>
    <mergeCell ref="A14:B14"/>
    <mergeCell ref="F14:G14"/>
    <mergeCell ref="A15:B15"/>
    <mergeCell ref="F15:G15"/>
    <mergeCell ref="B1:I1"/>
    <mergeCell ref="A4:B4"/>
    <mergeCell ref="C4:E4"/>
    <mergeCell ref="F11:G11"/>
    <mergeCell ref="A12:B12"/>
    <mergeCell ref="F12:G12"/>
    <mergeCell ref="A19:B19"/>
    <mergeCell ref="F19:G19"/>
    <mergeCell ref="A20:B20"/>
    <mergeCell ref="F20:G20"/>
    <mergeCell ref="A21:B21"/>
    <mergeCell ref="F21:G21"/>
    <mergeCell ref="A16:B16"/>
    <mergeCell ref="F16:G16"/>
    <mergeCell ref="A17:B17"/>
    <mergeCell ref="F17:G17"/>
    <mergeCell ref="A18:B18"/>
    <mergeCell ref="F18:G18"/>
    <mergeCell ref="A25:B25"/>
    <mergeCell ref="F25:G25"/>
    <mergeCell ref="A26:B26"/>
    <mergeCell ref="F26:G26"/>
    <mergeCell ref="A27:B27"/>
    <mergeCell ref="F27:G27"/>
    <mergeCell ref="A22:B22"/>
    <mergeCell ref="F22:G22"/>
    <mergeCell ref="A23:B23"/>
    <mergeCell ref="F23:G23"/>
    <mergeCell ref="A24:B24"/>
    <mergeCell ref="F24:G24"/>
    <mergeCell ref="F31:G31"/>
    <mergeCell ref="A32:B32"/>
    <mergeCell ref="A38:B38"/>
    <mergeCell ref="A39:B39"/>
    <mergeCell ref="A40:B40"/>
    <mergeCell ref="A41:B41"/>
    <mergeCell ref="A28:B28"/>
    <mergeCell ref="F28:G28"/>
    <mergeCell ref="A29:B29"/>
    <mergeCell ref="F29:G29"/>
    <mergeCell ref="A30:B30"/>
    <mergeCell ref="F30:G30"/>
    <mergeCell ref="A74:B74"/>
    <mergeCell ref="D74:G74"/>
    <mergeCell ref="A77:B77"/>
    <mergeCell ref="D77:G77"/>
    <mergeCell ref="A80:B80"/>
    <mergeCell ref="D80:G80"/>
    <mergeCell ref="A42:B42"/>
    <mergeCell ref="A43:B43"/>
    <mergeCell ref="A44:B44"/>
    <mergeCell ref="A59:B67"/>
    <mergeCell ref="F68:H68"/>
    <mergeCell ref="A71:B71"/>
    <mergeCell ref="D71:G71"/>
    <mergeCell ref="C116:D116"/>
    <mergeCell ref="C117:D117"/>
    <mergeCell ref="C118:D118"/>
    <mergeCell ref="C119:D119"/>
    <mergeCell ref="C120:D120"/>
    <mergeCell ref="C121:D121"/>
    <mergeCell ref="A83:B83"/>
    <mergeCell ref="D83:G83"/>
    <mergeCell ref="A88:C88"/>
    <mergeCell ref="A89:C89"/>
    <mergeCell ref="A108:C108"/>
    <mergeCell ref="A110:C110"/>
    <mergeCell ref="A98:B98"/>
    <mergeCell ref="C132:E132"/>
    <mergeCell ref="F133:G133"/>
    <mergeCell ref="A134:B134"/>
    <mergeCell ref="F134:G134"/>
    <mergeCell ref="A135:B135"/>
    <mergeCell ref="F135:G135"/>
    <mergeCell ref="A122:I122"/>
    <mergeCell ref="F124:I124"/>
    <mergeCell ref="A127:B127"/>
    <mergeCell ref="A128:B128"/>
    <mergeCell ref="A131:C131"/>
    <mergeCell ref="F131:I131"/>
    <mergeCell ref="A147:G147"/>
    <mergeCell ref="A161:H161"/>
    <mergeCell ref="A162:H162"/>
    <mergeCell ref="A163:H163"/>
    <mergeCell ref="A136:B136"/>
    <mergeCell ref="F136:G136"/>
    <mergeCell ref="A137:B137"/>
    <mergeCell ref="F137:G137"/>
    <mergeCell ref="A138:B138"/>
    <mergeCell ref="A140:C140"/>
    <mergeCell ref="F140:H140"/>
    <mergeCell ref="A178:H178"/>
    <mergeCell ref="A179:H179"/>
    <mergeCell ref="A180:H180"/>
    <mergeCell ref="R95:S95"/>
    <mergeCell ref="T95:X95"/>
    <mergeCell ref="A96:B96"/>
    <mergeCell ref="E96:I96"/>
    <mergeCell ref="R96:S96"/>
    <mergeCell ref="A97:B97"/>
    <mergeCell ref="R97:S97"/>
    <mergeCell ref="A170:H170"/>
    <mergeCell ref="A172:H172"/>
    <mergeCell ref="A173:H173"/>
    <mergeCell ref="A174:H174"/>
    <mergeCell ref="A175:H175"/>
    <mergeCell ref="A176:H176"/>
    <mergeCell ref="A164:H164"/>
    <mergeCell ref="A165:H165"/>
    <mergeCell ref="A166:H166"/>
    <mergeCell ref="A167:H167"/>
    <mergeCell ref="A168:H168"/>
    <mergeCell ref="A169:H169"/>
    <mergeCell ref="A142:H142"/>
    <mergeCell ref="A146:G146"/>
    <mergeCell ref="R105:S105"/>
    <mergeCell ref="A106:B106"/>
    <mergeCell ref="R106:T106"/>
    <mergeCell ref="R98:S98"/>
    <mergeCell ref="A99:B99"/>
    <mergeCell ref="R100:S100"/>
    <mergeCell ref="A101:B101"/>
    <mergeCell ref="R101:S101"/>
    <mergeCell ref="A102:B102"/>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88284-B928-4091-81D2-B73D95EB542A}">
  <sheetPr>
    <pageSetUpPr fitToPage="1"/>
  </sheetPr>
  <dimension ref="A1:R125"/>
  <sheetViews>
    <sheetView topLeftCell="A49" workbookViewId="0">
      <selection activeCell="G55" sqref="G55"/>
    </sheetView>
  </sheetViews>
  <sheetFormatPr defaultColWidth="9.140625" defaultRowHeight="15" x14ac:dyDescent="0.25"/>
  <cols>
    <col min="1" max="1" width="9.140625" style="527"/>
    <col min="2" max="2" width="11.5703125" style="526" bestFit="1" customWidth="1"/>
    <col min="3" max="3" width="37.140625" style="527" customWidth="1"/>
    <col min="4" max="4" width="16.28515625" style="528" bestFit="1" customWidth="1"/>
    <col min="5" max="5" width="15.140625" style="528" bestFit="1" customWidth="1"/>
    <col min="6" max="7" width="15.140625" style="527" bestFit="1" customWidth="1"/>
    <col min="8" max="8" width="15" style="527" bestFit="1" customWidth="1"/>
    <col min="9" max="9" width="14.28515625" style="527" bestFit="1" customWidth="1"/>
    <col min="10" max="10" width="16.85546875" style="527" bestFit="1" customWidth="1"/>
    <col min="11" max="11" width="14.140625" style="529" customWidth="1"/>
    <col min="12" max="15" width="14" style="527" bestFit="1" customWidth="1"/>
    <col min="16" max="16" width="14" style="530" bestFit="1" customWidth="1"/>
    <col min="17" max="18" width="15.28515625" style="527" bestFit="1" customWidth="1"/>
    <col min="19" max="16384" width="9.140625" style="527"/>
  </cols>
  <sheetData>
    <row r="1" spans="1:18" x14ac:dyDescent="0.25">
      <c r="A1" s="525" t="s">
        <v>415</v>
      </c>
    </row>
    <row r="2" spans="1:18" x14ac:dyDescent="0.25">
      <c r="C2" s="531"/>
      <c r="D2" s="532"/>
      <c r="E2" s="532"/>
      <c r="F2" s="531"/>
      <c r="G2" s="531"/>
    </row>
    <row r="4" spans="1:18" s="533" customFormat="1" ht="45" x14ac:dyDescent="0.25">
      <c r="A4" s="533" t="s">
        <v>52</v>
      </c>
      <c r="B4" s="534" t="s">
        <v>52</v>
      </c>
      <c r="C4" s="533" t="s">
        <v>52</v>
      </c>
      <c r="D4" s="535" t="s">
        <v>204</v>
      </c>
      <c r="E4" s="535" t="s">
        <v>416</v>
      </c>
      <c r="F4" s="534" t="s">
        <v>417</v>
      </c>
      <c r="G4" s="534" t="s">
        <v>418</v>
      </c>
      <c r="H4" s="534" t="s">
        <v>419</v>
      </c>
      <c r="I4" s="534" t="s">
        <v>420</v>
      </c>
      <c r="J4" s="534" t="s">
        <v>421</v>
      </c>
      <c r="K4" s="536" t="s">
        <v>422</v>
      </c>
      <c r="L4" s="534" t="s">
        <v>423</v>
      </c>
      <c r="M4" s="534" t="s">
        <v>424</v>
      </c>
      <c r="N4" s="534" t="s">
        <v>425</v>
      </c>
      <c r="O4" s="534" t="s">
        <v>426</v>
      </c>
      <c r="P4" s="537" t="s">
        <v>427</v>
      </c>
      <c r="Q4" s="534" t="s">
        <v>125</v>
      </c>
      <c r="R4" s="538" t="s">
        <v>428</v>
      </c>
    </row>
    <row r="5" spans="1:18" s="533" customFormat="1" x14ac:dyDescent="0.25">
      <c r="A5" s="527">
        <v>1</v>
      </c>
      <c r="B5" s="539" t="s">
        <v>212</v>
      </c>
      <c r="C5" s="527" t="s">
        <v>213</v>
      </c>
      <c r="D5" s="540">
        <v>298028.78000000003</v>
      </c>
      <c r="E5" s="540">
        <v>24451.48</v>
      </c>
      <c r="F5" s="541">
        <v>24870.66</v>
      </c>
      <c r="G5" s="587">
        <v>24870.66</v>
      </c>
      <c r="H5" s="541"/>
      <c r="I5" s="541"/>
      <c r="J5" s="541"/>
      <c r="K5" s="542"/>
      <c r="L5" s="542"/>
      <c r="M5" s="542"/>
      <c r="N5" s="541"/>
      <c r="O5" s="541"/>
      <c r="P5" s="541"/>
      <c r="Q5" s="543">
        <f>SUM(E5:P5)</f>
        <v>74192.800000000003</v>
      </c>
      <c r="R5" s="543">
        <v>0</v>
      </c>
    </row>
    <row r="6" spans="1:18" s="533" customFormat="1" x14ac:dyDescent="0.25">
      <c r="A6" s="527">
        <v>2</v>
      </c>
      <c r="B6" s="539" t="s">
        <v>214</v>
      </c>
      <c r="C6" s="527" t="s">
        <v>215</v>
      </c>
      <c r="D6" s="540">
        <v>267259.57000000007</v>
      </c>
      <c r="E6" s="540">
        <v>22293.06</v>
      </c>
      <c r="F6" s="541">
        <v>22269.68</v>
      </c>
      <c r="G6" s="587">
        <v>22269.68</v>
      </c>
      <c r="H6" s="541"/>
      <c r="I6" s="541"/>
      <c r="J6" s="541"/>
      <c r="K6" s="542"/>
      <c r="L6" s="542"/>
      <c r="M6" s="542"/>
      <c r="N6" s="541"/>
      <c r="O6" s="541"/>
      <c r="P6" s="541"/>
      <c r="Q6" s="543">
        <f t="shared" ref="Q6:Q53" si="0">SUM(E6:P6)</f>
        <v>66832.420000000013</v>
      </c>
      <c r="R6" s="543">
        <v>0</v>
      </c>
    </row>
    <row r="7" spans="1:18" x14ac:dyDescent="0.25">
      <c r="A7" s="527">
        <v>3</v>
      </c>
      <c r="B7" s="526" t="s">
        <v>216</v>
      </c>
      <c r="C7" s="527" t="s">
        <v>217</v>
      </c>
      <c r="D7" s="528">
        <v>6284708.1000000006</v>
      </c>
      <c r="E7" s="544">
        <v>485398.34</v>
      </c>
      <c r="F7" s="545">
        <v>492757.49</v>
      </c>
      <c r="G7" s="546">
        <v>530655.23</v>
      </c>
      <c r="H7" s="547"/>
      <c r="I7" s="546"/>
      <c r="J7" s="545"/>
      <c r="K7" s="548"/>
      <c r="L7" s="548"/>
      <c r="M7" s="549"/>
      <c r="N7" s="543"/>
      <c r="O7" s="530"/>
      <c r="Q7" s="543">
        <f t="shared" si="0"/>
        <v>1508811.06</v>
      </c>
      <c r="R7" s="543">
        <v>0</v>
      </c>
    </row>
    <row r="8" spans="1:18" x14ac:dyDescent="0.25">
      <c r="A8" s="527">
        <v>4</v>
      </c>
      <c r="B8" s="526" t="s">
        <v>218</v>
      </c>
      <c r="C8" s="527" t="s">
        <v>219</v>
      </c>
      <c r="D8" s="528">
        <v>10367106.1</v>
      </c>
      <c r="E8" s="550">
        <v>795164.86</v>
      </c>
      <c r="F8" s="545">
        <v>808415.92</v>
      </c>
      <c r="G8" s="546">
        <v>876352.53</v>
      </c>
      <c r="H8" s="547"/>
      <c r="I8" s="546"/>
      <c r="J8" s="545"/>
      <c r="K8" s="548"/>
      <c r="L8" s="548"/>
      <c r="M8" s="549"/>
      <c r="N8" s="543"/>
      <c r="O8" s="530"/>
      <c r="Q8" s="543">
        <f t="shared" si="0"/>
        <v>2479933.31</v>
      </c>
      <c r="R8" s="543">
        <v>0</v>
      </c>
    </row>
    <row r="9" spans="1:18" x14ac:dyDescent="0.25">
      <c r="A9" s="527">
        <v>5</v>
      </c>
      <c r="B9" s="526" t="s">
        <v>220</v>
      </c>
      <c r="C9" s="527" t="s">
        <v>221</v>
      </c>
      <c r="D9" s="528">
        <v>1351706.6900000002</v>
      </c>
      <c r="E9" s="550">
        <v>112200.54</v>
      </c>
      <c r="F9" s="545">
        <v>112562.16</v>
      </c>
      <c r="G9" s="546">
        <v>112694.39999999999</v>
      </c>
      <c r="H9" s="547"/>
      <c r="I9" s="546"/>
      <c r="J9" s="545"/>
      <c r="K9" s="548"/>
      <c r="L9" s="548"/>
      <c r="M9" s="549"/>
      <c r="N9" s="543"/>
      <c r="O9" s="530"/>
      <c r="Q9" s="543">
        <f t="shared" si="0"/>
        <v>337457.1</v>
      </c>
      <c r="R9" s="543">
        <v>0</v>
      </c>
    </row>
    <row r="10" spans="1:18" x14ac:dyDescent="0.25">
      <c r="A10" s="527">
        <v>6</v>
      </c>
      <c r="B10" s="551" t="s">
        <v>222</v>
      </c>
      <c r="C10" s="552" t="s">
        <v>223</v>
      </c>
      <c r="D10" s="544">
        <v>1583711.73</v>
      </c>
      <c r="E10" s="550">
        <v>128465.38</v>
      </c>
      <c r="F10" s="545">
        <v>132295.12</v>
      </c>
      <c r="G10" s="553">
        <v>132295.12</v>
      </c>
      <c r="H10" s="547"/>
      <c r="I10" s="546"/>
      <c r="J10" s="545"/>
      <c r="K10" s="548"/>
      <c r="L10" s="548"/>
      <c r="M10" s="549"/>
      <c r="N10" s="543"/>
      <c r="O10" s="530"/>
      <c r="Q10" s="543">
        <f t="shared" si="0"/>
        <v>393055.62</v>
      </c>
      <c r="R10" s="543">
        <v>0</v>
      </c>
    </row>
    <row r="11" spans="1:18" x14ac:dyDescent="0.25">
      <c r="A11" s="527">
        <v>7</v>
      </c>
      <c r="B11" s="526" t="s">
        <v>224</v>
      </c>
      <c r="C11" s="527" t="s">
        <v>225</v>
      </c>
      <c r="D11" s="528">
        <v>5346468.25</v>
      </c>
      <c r="E11" s="550">
        <v>440248.86</v>
      </c>
      <c r="F11" s="545">
        <v>446019.94</v>
      </c>
      <c r="G11" s="546">
        <v>446019.95</v>
      </c>
      <c r="H11" s="547"/>
      <c r="I11" s="546"/>
      <c r="J11" s="545"/>
      <c r="K11" s="548"/>
      <c r="L11" s="548"/>
      <c r="M11" s="549"/>
      <c r="N11" s="543"/>
      <c r="O11" s="530"/>
      <c r="Q11" s="543">
        <f t="shared" si="0"/>
        <v>1332288.75</v>
      </c>
      <c r="R11" s="543">
        <v>0</v>
      </c>
    </row>
    <row r="12" spans="1:18" x14ac:dyDescent="0.25">
      <c r="A12" s="527">
        <v>8</v>
      </c>
      <c r="B12" s="526" t="s">
        <v>226</v>
      </c>
      <c r="C12" s="527" t="s">
        <v>227</v>
      </c>
      <c r="D12" s="528">
        <v>5255370.7600000007</v>
      </c>
      <c r="E12" s="550">
        <v>433777.9</v>
      </c>
      <c r="F12" s="545">
        <v>438326.62</v>
      </c>
      <c r="G12" s="546">
        <v>438326.62</v>
      </c>
      <c r="H12" s="547"/>
      <c r="I12" s="546"/>
      <c r="J12" s="545"/>
      <c r="K12" s="548"/>
      <c r="L12" s="548"/>
      <c r="M12" s="549"/>
      <c r="N12" s="543"/>
      <c r="O12" s="530"/>
      <c r="Q12" s="543">
        <f t="shared" si="0"/>
        <v>1310431.1400000001</v>
      </c>
      <c r="R12" s="543">
        <v>0</v>
      </c>
    </row>
    <row r="13" spans="1:18" x14ac:dyDescent="0.25">
      <c r="A13" s="527">
        <v>9</v>
      </c>
      <c r="B13" s="526" t="s">
        <v>228</v>
      </c>
      <c r="C13" s="527" t="s">
        <v>229</v>
      </c>
      <c r="D13" s="528">
        <v>6152950.2400000002</v>
      </c>
      <c r="E13" s="550">
        <v>505265.93</v>
      </c>
      <c r="F13" s="545">
        <v>513425.85</v>
      </c>
      <c r="G13" s="546">
        <v>513425.85</v>
      </c>
      <c r="H13" s="547"/>
      <c r="I13" s="546"/>
      <c r="J13" s="545"/>
      <c r="K13" s="548"/>
      <c r="L13" s="548"/>
      <c r="M13" s="549"/>
      <c r="N13" s="543"/>
      <c r="O13" s="530"/>
      <c r="Q13" s="543">
        <f t="shared" si="0"/>
        <v>1532117.63</v>
      </c>
      <c r="R13" s="543">
        <v>0</v>
      </c>
    </row>
    <row r="14" spans="1:18" x14ac:dyDescent="0.25">
      <c r="A14" s="527">
        <v>10</v>
      </c>
      <c r="B14" s="526" t="s">
        <v>230</v>
      </c>
      <c r="C14" s="527" t="s">
        <v>231</v>
      </c>
      <c r="D14" s="528">
        <v>10423410.480000002</v>
      </c>
      <c r="E14" s="550">
        <v>858865.25</v>
      </c>
      <c r="F14" s="545">
        <v>869504.11</v>
      </c>
      <c r="G14" s="546">
        <v>869504.11</v>
      </c>
      <c r="H14" s="547"/>
      <c r="I14" s="546"/>
      <c r="J14" s="545"/>
      <c r="K14" s="548"/>
      <c r="L14" s="548"/>
      <c r="M14" s="549"/>
      <c r="N14" s="543"/>
      <c r="O14" s="530"/>
      <c r="Q14" s="543">
        <f t="shared" si="0"/>
        <v>2597873.4699999997</v>
      </c>
      <c r="R14" s="543">
        <v>0</v>
      </c>
    </row>
    <row r="15" spans="1:18" x14ac:dyDescent="0.25">
      <c r="A15" s="527">
        <v>11</v>
      </c>
      <c r="B15" s="526" t="s">
        <v>232</v>
      </c>
      <c r="C15" s="527" t="s">
        <v>233</v>
      </c>
      <c r="D15" s="528">
        <v>5952516.4199999999</v>
      </c>
      <c r="E15" s="550">
        <v>484859.99</v>
      </c>
      <c r="F15" s="545">
        <v>497059.68</v>
      </c>
      <c r="G15" s="546">
        <v>497059.68</v>
      </c>
      <c r="H15" s="547"/>
      <c r="I15" s="546"/>
      <c r="J15" s="545"/>
      <c r="K15" s="548"/>
      <c r="L15" s="548"/>
      <c r="M15" s="549"/>
      <c r="N15" s="543"/>
      <c r="O15" s="530"/>
      <c r="Q15" s="543">
        <f t="shared" si="0"/>
        <v>1478979.3499999999</v>
      </c>
      <c r="R15" s="543">
        <v>0</v>
      </c>
    </row>
    <row r="16" spans="1:18" x14ac:dyDescent="0.25">
      <c r="A16" s="527">
        <v>12</v>
      </c>
      <c r="B16" s="526" t="s">
        <v>234</v>
      </c>
      <c r="C16" s="527" t="s">
        <v>235</v>
      </c>
      <c r="D16" s="528">
        <v>1095429.9500000002</v>
      </c>
      <c r="E16" s="550">
        <v>90419.86</v>
      </c>
      <c r="F16" s="545">
        <v>91364.55</v>
      </c>
      <c r="G16" s="546">
        <v>91364.55</v>
      </c>
      <c r="H16" s="547"/>
      <c r="I16" s="546"/>
      <c r="J16" s="545"/>
      <c r="K16" s="548"/>
      <c r="L16" s="548"/>
      <c r="M16" s="549"/>
      <c r="N16" s="543"/>
      <c r="O16" s="530"/>
      <c r="Q16" s="543">
        <f t="shared" si="0"/>
        <v>273148.96000000002</v>
      </c>
      <c r="R16" s="543">
        <v>0</v>
      </c>
    </row>
    <row r="17" spans="1:18" x14ac:dyDescent="0.25">
      <c r="A17" s="527">
        <v>13</v>
      </c>
      <c r="B17" s="526" t="s">
        <v>236</v>
      </c>
      <c r="C17" s="527" t="s">
        <v>237</v>
      </c>
      <c r="D17" s="528">
        <v>9142489.2799999993</v>
      </c>
      <c r="E17" s="550">
        <v>750894</v>
      </c>
      <c r="F17" s="545">
        <v>762872.3</v>
      </c>
      <c r="G17" s="546">
        <v>762872.3</v>
      </c>
      <c r="H17" s="547"/>
      <c r="I17" s="546"/>
      <c r="J17" s="545"/>
      <c r="K17" s="548"/>
      <c r="L17" s="548"/>
      <c r="M17" s="549"/>
      <c r="N17" s="543"/>
      <c r="O17" s="530"/>
      <c r="Q17" s="543">
        <f t="shared" si="0"/>
        <v>2276638.6</v>
      </c>
      <c r="R17" s="543">
        <v>0</v>
      </c>
    </row>
    <row r="18" spans="1:18" x14ac:dyDescent="0.25">
      <c r="A18" s="527">
        <v>14</v>
      </c>
      <c r="B18" s="526" t="s">
        <v>238</v>
      </c>
      <c r="C18" s="527" t="s">
        <v>239</v>
      </c>
      <c r="D18" s="528">
        <v>2427071.44</v>
      </c>
      <c r="E18" s="550">
        <v>199480.37</v>
      </c>
      <c r="F18" s="545">
        <v>202508.28</v>
      </c>
      <c r="G18" s="546">
        <v>202508.28</v>
      </c>
      <c r="H18" s="547"/>
      <c r="I18" s="546"/>
      <c r="J18" s="545"/>
      <c r="K18" s="548"/>
      <c r="L18" s="548"/>
      <c r="M18" s="549"/>
      <c r="N18" s="543"/>
      <c r="O18" s="530"/>
      <c r="Q18" s="543">
        <f t="shared" si="0"/>
        <v>604496.93000000005</v>
      </c>
      <c r="R18" s="543">
        <v>0</v>
      </c>
    </row>
    <row r="19" spans="1:18" x14ac:dyDescent="0.25">
      <c r="A19" s="527">
        <v>15</v>
      </c>
      <c r="B19" s="554" t="s">
        <v>240</v>
      </c>
      <c r="C19" s="555" t="s">
        <v>241</v>
      </c>
      <c r="D19" s="556"/>
      <c r="E19" s="550"/>
      <c r="F19" s="557">
        <v>0</v>
      </c>
      <c r="G19" s="553"/>
      <c r="H19" s="547"/>
      <c r="I19" s="546"/>
      <c r="J19" s="545"/>
      <c r="K19" s="548"/>
      <c r="L19" s="548"/>
      <c r="M19" s="549"/>
      <c r="N19" s="543"/>
      <c r="O19" s="530"/>
      <c r="Q19" s="543">
        <f t="shared" si="0"/>
        <v>0</v>
      </c>
      <c r="R19" s="543">
        <v>0</v>
      </c>
    </row>
    <row r="20" spans="1:18" x14ac:dyDescent="0.25">
      <c r="A20" s="527">
        <v>16</v>
      </c>
      <c r="B20" s="526" t="s">
        <v>242</v>
      </c>
      <c r="C20" s="527" t="s">
        <v>243</v>
      </c>
      <c r="D20" s="528">
        <v>1653077.94</v>
      </c>
      <c r="E20" s="550">
        <v>136646.84</v>
      </c>
      <c r="F20" s="545">
        <v>137857.37</v>
      </c>
      <c r="G20" s="546">
        <v>137857.37</v>
      </c>
      <c r="H20" s="547"/>
      <c r="I20" s="546"/>
      <c r="J20" s="545"/>
      <c r="K20" s="548"/>
      <c r="L20" s="548"/>
      <c r="M20" s="549"/>
      <c r="N20" s="543"/>
      <c r="O20" s="530"/>
      <c r="Q20" s="543">
        <f t="shared" si="0"/>
        <v>412361.57999999996</v>
      </c>
      <c r="R20" s="543">
        <v>0</v>
      </c>
    </row>
    <row r="21" spans="1:18" x14ac:dyDescent="0.25">
      <c r="A21" s="527">
        <v>17</v>
      </c>
      <c r="B21" s="526" t="s">
        <v>244</v>
      </c>
      <c r="C21" s="527" t="s">
        <v>245</v>
      </c>
      <c r="D21" s="528">
        <v>4417918.6399999997</v>
      </c>
      <c r="E21" s="550">
        <v>363962.87</v>
      </c>
      <c r="F21" s="545">
        <v>368541.43</v>
      </c>
      <c r="G21" s="546">
        <v>368541.43</v>
      </c>
      <c r="H21" s="547"/>
      <c r="I21" s="546"/>
      <c r="J21" s="545"/>
      <c r="K21" s="548"/>
      <c r="L21" s="548"/>
      <c r="M21" s="549"/>
      <c r="N21" s="543"/>
      <c r="O21" s="530"/>
      <c r="Q21" s="543">
        <f t="shared" si="0"/>
        <v>1101045.73</v>
      </c>
      <c r="R21" s="543">
        <v>0</v>
      </c>
    </row>
    <row r="22" spans="1:18" x14ac:dyDescent="0.25">
      <c r="A22" s="527">
        <v>18</v>
      </c>
      <c r="B22" s="526" t="s">
        <v>246</v>
      </c>
      <c r="C22" s="527" t="s">
        <v>247</v>
      </c>
      <c r="D22" s="528">
        <v>6304834.1699999999</v>
      </c>
      <c r="E22" s="550">
        <v>481353.82</v>
      </c>
      <c r="F22" s="545">
        <v>489623.72</v>
      </c>
      <c r="G22" s="546">
        <v>533385.66</v>
      </c>
      <c r="H22" s="547"/>
      <c r="I22" s="546"/>
      <c r="J22" s="545"/>
      <c r="K22" s="548"/>
      <c r="L22" s="548"/>
      <c r="M22" s="549"/>
      <c r="N22" s="543"/>
      <c r="O22" s="530"/>
      <c r="Q22" s="543">
        <f t="shared" si="0"/>
        <v>1504363.2000000002</v>
      </c>
      <c r="R22" s="543">
        <v>0</v>
      </c>
    </row>
    <row r="23" spans="1:18" x14ac:dyDescent="0.25">
      <c r="A23" s="527">
        <v>19</v>
      </c>
      <c r="B23" s="526" t="s">
        <v>248</v>
      </c>
      <c r="C23" s="527" t="s">
        <v>249</v>
      </c>
      <c r="D23" s="528">
        <v>919769.33000000007</v>
      </c>
      <c r="E23" s="550">
        <v>75370.149999999994</v>
      </c>
      <c r="F23" s="545">
        <v>76763.56</v>
      </c>
      <c r="G23" s="546">
        <v>76763.56</v>
      </c>
      <c r="H23" s="547"/>
      <c r="I23" s="546"/>
      <c r="J23" s="545"/>
      <c r="K23" s="548"/>
      <c r="L23" s="548"/>
      <c r="M23" s="549"/>
      <c r="N23" s="543"/>
      <c r="O23" s="530"/>
      <c r="Q23" s="543">
        <f t="shared" si="0"/>
        <v>228897.27</v>
      </c>
      <c r="R23" s="543">
        <v>0</v>
      </c>
    </row>
    <row r="24" spans="1:18" x14ac:dyDescent="0.25">
      <c r="A24" s="527">
        <v>20</v>
      </c>
      <c r="B24" s="526" t="s">
        <v>250</v>
      </c>
      <c r="C24" s="527" t="s">
        <v>251</v>
      </c>
      <c r="D24" s="528">
        <v>1132579.8100000003</v>
      </c>
      <c r="E24" s="550">
        <v>93540.76</v>
      </c>
      <c r="F24" s="545">
        <v>94458.1</v>
      </c>
      <c r="G24" s="546">
        <v>94458.1</v>
      </c>
      <c r="H24" s="547"/>
      <c r="I24" s="546"/>
      <c r="J24" s="545"/>
      <c r="K24" s="548"/>
      <c r="L24" s="548"/>
      <c r="M24" s="549"/>
      <c r="N24" s="543"/>
      <c r="O24" s="530"/>
      <c r="Q24" s="543">
        <f t="shared" si="0"/>
        <v>282456.95999999996</v>
      </c>
      <c r="R24" s="543">
        <v>0</v>
      </c>
    </row>
    <row r="25" spans="1:18" x14ac:dyDescent="0.25">
      <c r="A25" s="527">
        <v>21</v>
      </c>
      <c r="B25" s="526" t="s">
        <v>252</v>
      </c>
      <c r="C25" s="527" t="s">
        <v>253</v>
      </c>
      <c r="D25" s="528">
        <v>3567973.1100000008</v>
      </c>
      <c r="E25" s="550">
        <v>291401.55</v>
      </c>
      <c r="F25" s="545">
        <v>296284.59999999998</v>
      </c>
      <c r="G25" s="546">
        <v>298028.7</v>
      </c>
      <c r="H25" s="547"/>
      <c r="I25" s="546"/>
      <c r="J25" s="545"/>
      <c r="K25" s="548"/>
      <c r="L25" s="548"/>
      <c r="M25" s="549"/>
      <c r="N25" s="543"/>
      <c r="O25" s="530"/>
      <c r="Q25" s="543">
        <f t="shared" si="0"/>
        <v>885714.84999999986</v>
      </c>
      <c r="R25" s="543">
        <v>0</v>
      </c>
    </row>
    <row r="26" spans="1:18" x14ac:dyDescent="0.25">
      <c r="A26" s="527">
        <v>22</v>
      </c>
      <c r="B26" s="526" t="s">
        <v>254</v>
      </c>
      <c r="C26" s="527" t="s">
        <v>255</v>
      </c>
      <c r="D26" s="528">
        <v>3434816.5400000005</v>
      </c>
      <c r="E26" s="550">
        <v>282765.64</v>
      </c>
      <c r="F26" s="545">
        <v>286550.08</v>
      </c>
      <c r="G26" s="546">
        <v>286550.08</v>
      </c>
      <c r="H26" s="547"/>
      <c r="I26" s="546"/>
      <c r="J26" s="545"/>
      <c r="K26" s="548"/>
      <c r="L26" s="548"/>
      <c r="M26" s="549"/>
      <c r="N26" s="543"/>
      <c r="O26" s="530"/>
      <c r="Q26" s="543">
        <f t="shared" si="0"/>
        <v>855865.8</v>
      </c>
      <c r="R26" s="543">
        <v>0</v>
      </c>
    </row>
    <row r="27" spans="1:18" x14ac:dyDescent="0.25">
      <c r="A27" s="527">
        <v>23</v>
      </c>
      <c r="B27" s="526" t="s">
        <v>256</v>
      </c>
      <c r="C27" s="527" t="s">
        <v>257</v>
      </c>
      <c r="D27" s="528">
        <v>3859154.1300000004</v>
      </c>
      <c r="E27" s="550">
        <v>318686.65000000002</v>
      </c>
      <c r="F27" s="545">
        <v>320269.78000000003</v>
      </c>
      <c r="G27" s="546">
        <v>322019.77</v>
      </c>
      <c r="H27" s="547"/>
      <c r="I27" s="546"/>
      <c r="J27" s="545"/>
      <c r="K27" s="548"/>
      <c r="L27" s="548"/>
      <c r="M27" s="549"/>
      <c r="N27" s="543"/>
      <c r="O27" s="530"/>
      <c r="Q27" s="543">
        <f t="shared" si="0"/>
        <v>960976.20000000007</v>
      </c>
      <c r="R27" s="543">
        <v>0</v>
      </c>
    </row>
    <row r="28" spans="1:18" x14ac:dyDescent="0.25">
      <c r="A28" s="527">
        <v>24</v>
      </c>
      <c r="B28" s="526" t="s">
        <v>258</v>
      </c>
      <c r="C28" s="527" t="s">
        <v>259</v>
      </c>
      <c r="D28" s="528">
        <v>8841825.3199999984</v>
      </c>
      <c r="E28" s="550">
        <v>727291.13</v>
      </c>
      <c r="F28" s="545">
        <v>737684.93</v>
      </c>
      <c r="G28" s="546">
        <v>737684.93</v>
      </c>
      <c r="H28" s="547"/>
      <c r="I28" s="546"/>
      <c r="J28" s="545"/>
      <c r="K28" s="548"/>
      <c r="L28" s="548"/>
      <c r="M28" s="549"/>
      <c r="N28" s="543"/>
      <c r="O28" s="530"/>
      <c r="Q28" s="543">
        <f t="shared" si="0"/>
        <v>2202660.9900000002</v>
      </c>
      <c r="R28" s="543">
        <v>0</v>
      </c>
    </row>
    <row r="29" spans="1:18" x14ac:dyDescent="0.25">
      <c r="A29" s="527">
        <v>25</v>
      </c>
      <c r="B29" s="526">
        <v>3441</v>
      </c>
      <c r="C29" s="527" t="s">
        <v>260</v>
      </c>
      <c r="D29" s="528">
        <v>4546697.7100000018</v>
      </c>
      <c r="E29" s="550">
        <v>365051.77</v>
      </c>
      <c r="F29" s="545">
        <v>372113.82</v>
      </c>
      <c r="G29" s="546">
        <v>380953.21</v>
      </c>
      <c r="H29" s="547"/>
      <c r="I29" s="546"/>
      <c r="J29" s="545"/>
      <c r="K29" s="548"/>
      <c r="L29" s="548"/>
      <c r="M29" s="549"/>
      <c r="N29" s="543"/>
      <c r="O29" s="530"/>
      <c r="Q29" s="543">
        <f t="shared" si="0"/>
        <v>1118118.8</v>
      </c>
      <c r="R29" s="543">
        <v>0</v>
      </c>
    </row>
    <row r="30" spans="1:18" x14ac:dyDescent="0.25">
      <c r="A30" s="527">
        <v>26</v>
      </c>
      <c r="B30" s="526">
        <v>3924</v>
      </c>
      <c r="C30" s="527" t="s">
        <v>261</v>
      </c>
      <c r="D30" s="528">
        <v>3705578.8700000006</v>
      </c>
      <c r="E30" s="550">
        <v>303122.37</v>
      </c>
      <c r="F30" s="545">
        <v>308213.52</v>
      </c>
      <c r="G30" s="546">
        <v>309424.3</v>
      </c>
      <c r="H30" s="547"/>
      <c r="I30" s="546"/>
      <c r="J30" s="545"/>
      <c r="K30" s="548"/>
      <c r="L30" s="548"/>
      <c r="M30" s="549"/>
      <c r="N30" s="543"/>
      <c r="O30" s="530"/>
      <c r="Q30" s="543">
        <f t="shared" si="0"/>
        <v>920760.19</v>
      </c>
      <c r="R30" s="543">
        <v>0</v>
      </c>
    </row>
    <row r="31" spans="1:18" x14ac:dyDescent="0.25">
      <c r="A31" s="527">
        <v>27</v>
      </c>
      <c r="B31" s="526" t="s">
        <v>262</v>
      </c>
      <c r="C31" s="527" t="s">
        <v>263</v>
      </c>
      <c r="D31" s="528">
        <v>2020244.5599999998</v>
      </c>
      <c r="E31" s="550">
        <v>166503.70000000001</v>
      </c>
      <c r="F31" s="545">
        <v>168521.9</v>
      </c>
      <c r="G31" s="546">
        <v>168521.9</v>
      </c>
      <c r="H31" s="547"/>
      <c r="I31" s="546"/>
      <c r="J31" s="545"/>
      <c r="K31" s="548"/>
      <c r="L31" s="548"/>
      <c r="M31" s="549"/>
      <c r="N31" s="543"/>
      <c r="O31" s="530"/>
      <c r="Q31" s="543">
        <f t="shared" si="0"/>
        <v>503547.5</v>
      </c>
      <c r="R31" s="543">
        <v>0</v>
      </c>
    </row>
    <row r="32" spans="1:18" x14ac:dyDescent="0.25">
      <c r="A32" s="527">
        <v>28</v>
      </c>
      <c r="B32" s="558" t="s">
        <v>264</v>
      </c>
      <c r="C32" s="559" t="s">
        <v>265</v>
      </c>
      <c r="D32" s="560"/>
      <c r="E32" s="561"/>
      <c r="F32" s="562">
        <v>0</v>
      </c>
      <c r="G32" s="560"/>
      <c r="H32" s="563"/>
      <c r="I32" s="560"/>
      <c r="J32" s="545"/>
      <c r="K32" s="548"/>
      <c r="L32" s="548"/>
      <c r="M32" s="549"/>
      <c r="N32" s="543"/>
      <c r="O32" s="530"/>
      <c r="Q32" s="543">
        <f t="shared" si="0"/>
        <v>0</v>
      </c>
      <c r="R32" s="543">
        <v>0</v>
      </c>
    </row>
    <row r="33" spans="1:18" x14ac:dyDescent="0.25">
      <c r="A33" s="527">
        <v>29</v>
      </c>
      <c r="B33" s="526" t="s">
        <v>266</v>
      </c>
      <c r="C33" s="527" t="s">
        <v>429</v>
      </c>
      <c r="D33" s="528">
        <v>5107336.0000000009</v>
      </c>
      <c r="E33" s="550">
        <v>418200.93</v>
      </c>
      <c r="F33" s="545">
        <v>425546.45</v>
      </c>
      <c r="G33" s="546">
        <v>426358.86</v>
      </c>
      <c r="H33" s="547"/>
      <c r="I33" s="546"/>
      <c r="J33" s="545"/>
      <c r="K33" s="548"/>
      <c r="L33" s="548"/>
      <c r="M33" s="549"/>
      <c r="N33" s="543"/>
      <c r="O33" s="530"/>
      <c r="Q33" s="543">
        <f t="shared" si="0"/>
        <v>1270106.24</v>
      </c>
      <c r="R33" s="543">
        <v>0</v>
      </c>
    </row>
    <row r="34" spans="1:18" x14ac:dyDescent="0.25">
      <c r="A34" s="527">
        <v>30</v>
      </c>
      <c r="B34" s="526" t="s">
        <v>268</v>
      </c>
      <c r="C34" s="527" t="s">
        <v>269</v>
      </c>
      <c r="D34" s="528">
        <v>5914578.1399999997</v>
      </c>
      <c r="E34" s="550">
        <v>486040.8</v>
      </c>
      <c r="F34" s="545">
        <v>493503.39</v>
      </c>
      <c r="G34" s="546">
        <v>493503.4</v>
      </c>
      <c r="H34" s="547"/>
      <c r="I34" s="546"/>
      <c r="J34" s="545"/>
      <c r="K34" s="548"/>
      <c r="L34" s="548"/>
      <c r="M34" s="549"/>
      <c r="N34" s="543"/>
      <c r="O34" s="530"/>
      <c r="Q34" s="543">
        <f t="shared" si="0"/>
        <v>1473047.5899999999</v>
      </c>
      <c r="R34" s="543">
        <v>0</v>
      </c>
    </row>
    <row r="35" spans="1:18" x14ac:dyDescent="0.25">
      <c r="A35" s="527">
        <v>31</v>
      </c>
      <c r="B35" s="526">
        <v>4002</v>
      </c>
      <c r="C35" s="527" t="s">
        <v>270</v>
      </c>
      <c r="D35" s="528">
        <v>8574250.8399999999</v>
      </c>
      <c r="E35" s="550">
        <v>707326.89</v>
      </c>
      <c r="F35" s="545">
        <v>715174.9</v>
      </c>
      <c r="G35" s="546">
        <v>715174.91</v>
      </c>
      <c r="H35" s="547"/>
      <c r="I35" s="546"/>
      <c r="J35" s="545"/>
      <c r="K35" s="548"/>
      <c r="L35" s="548"/>
      <c r="M35" s="549"/>
      <c r="N35" s="543"/>
      <c r="O35" s="530"/>
      <c r="Q35" s="543">
        <f t="shared" si="0"/>
        <v>2137676.7000000002</v>
      </c>
      <c r="R35" s="543">
        <v>0</v>
      </c>
    </row>
    <row r="36" spans="1:18" x14ac:dyDescent="0.25">
      <c r="A36" s="527">
        <v>32</v>
      </c>
      <c r="B36" s="526">
        <v>4012</v>
      </c>
      <c r="C36" s="527" t="s">
        <v>271</v>
      </c>
      <c r="D36" s="528">
        <v>4984700.1099999994</v>
      </c>
      <c r="E36" s="550">
        <v>401311.12</v>
      </c>
      <c r="F36" s="545">
        <v>409405.4</v>
      </c>
      <c r="G36" s="546">
        <v>417398.36</v>
      </c>
      <c r="H36" s="547"/>
      <c r="I36" s="546"/>
      <c r="J36" s="545"/>
      <c r="K36" s="548"/>
      <c r="L36" s="548"/>
      <c r="M36" s="549"/>
      <c r="N36" s="543"/>
      <c r="O36" s="530"/>
      <c r="Q36" s="543">
        <f t="shared" si="0"/>
        <v>1228114.8799999999</v>
      </c>
      <c r="R36" s="543">
        <v>0</v>
      </c>
    </row>
    <row r="37" spans="1:18" x14ac:dyDescent="0.25">
      <c r="A37" s="527">
        <v>33</v>
      </c>
      <c r="B37" s="526">
        <v>4013</v>
      </c>
      <c r="C37" s="527" t="s">
        <v>272</v>
      </c>
      <c r="D37" s="528">
        <v>9297704.3399999999</v>
      </c>
      <c r="E37" s="550">
        <v>667648.91</v>
      </c>
      <c r="F37" s="545">
        <v>677472.72</v>
      </c>
      <c r="G37" s="546">
        <v>795258.27</v>
      </c>
      <c r="H37" s="547"/>
      <c r="I37" s="546"/>
      <c r="J37" s="545"/>
      <c r="K37" s="548"/>
      <c r="L37" s="548"/>
      <c r="M37" s="549"/>
      <c r="N37" s="543"/>
      <c r="O37" s="530"/>
      <c r="Q37" s="543">
        <f t="shared" si="0"/>
        <v>2140379.9</v>
      </c>
      <c r="R37" s="543">
        <v>0</v>
      </c>
    </row>
    <row r="38" spans="1:18" x14ac:dyDescent="0.25">
      <c r="A38" s="527">
        <v>34</v>
      </c>
      <c r="B38" s="526">
        <v>4020</v>
      </c>
      <c r="C38" s="527" t="s">
        <v>273</v>
      </c>
      <c r="D38" s="528">
        <v>10867277.119999999</v>
      </c>
      <c r="E38" s="550">
        <v>892802.19</v>
      </c>
      <c r="F38" s="545">
        <v>906770.45</v>
      </c>
      <c r="G38" s="546">
        <v>906770.45</v>
      </c>
      <c r="H38" s="547"/>
      <c r="I38" s="546"/>
      <c r="J38" s="545"/>
      <c r="K38" s="548"/>
      <c r="L38" s="548"/>
      <c r="M38" s="549"/>
      <c r="N38" s="543"/>
      <c r="O38" s="530"/>
      <c r="Q38" s="543">
        <f t="shared" si="0"/>
        <v>2706343.09</v>
      </c>
      <c r="R38" s="543">
        <v>0</v>
      </c>
    </row>
    <row r="39" spans="1:18" x14ac:dyDescent="0.25">
      <c r="A39" s="527">
        <v>35</v>
      </c>
      <c r="B39" s="526">
        <v>4030</v>
      </c>
      <c r="C39" s="527" t="s">
        <v>274</v>
      </c>
      <c r="D39" s="528">
        <v>2619365.38</v>
      </c>
      <c r="E39" s="550">
        <v>216879.02</v>
      </c>
      <c r="F39" s="545">
        <v>218407.85</v>
      </c>
      <c r="G39" s="546">
        <v>218407.85</v>
      </c>
      <c r="H39" s="547"/>
      <c r="I39" s="546"/>
      <c r="J39" s="545"/>
      <c r="K39" s="548"/>
      <c r="L39" s="548"/>
      <c r="M39" s="549"/>
      <c r="N39" s="543"/>
      <c r="O39" s="530"/>
      <c r="Q39" s="543">
        <f t="shared" si="0"/>
        <v>653694.71999999997</v>
      </c>
      <c r="R39" s="543">
        <v>0</v>
      </c>
    </row>
    <row r="40" spans="1:18" x14ac:dyDescent="0.25">
      <c r="A40" s="527">
        <v>36</v>
      </c>
      <c r="B40" s="526">
        <v>4031</v>
      </c>
      <c r="C40" s="527" t="s">
        <v>275</v>
      </c>
      <c r="D40" s="528">
        <v>3914815.85</v>
      </c>
      <c r="E40" s="550">
        <v>322483.34000000003</v>
      </c>
      <c r="F40" s="545">
        <v>326575.68</v>
      </c>
      <c r="G40" s="546">
        <v>326575.68</v>
      </c>
      <c r="H40" s="547"/>
      <c r="I40" s="546"/>
      <c r="J40" s="545"/>
      <c r="K40" s="548"/>
      <c r="L40" s="548"/>
      <c r="M40" s="549"/>
      <c r="N40" s="543"/>
      <c r="O40" s="530"/>
      <c r="Q40" s="543">
        <f t="shared" si="0"/>
        <v>975634.7</v>
      </c>
      <c r="R40" s="543">
        <v>0</v>
      </c>
    </row>
    <row r="41" spans="1:18" x14ac:dyDescent="0.25">
      <c r="A41" s="527">
        <v>37</v>
      </c>
      <c r="B41" s="526">
        <v>4041</v>
      </c>
      <c r="C41" s="527" t="s">
        <v>276</v>
      </c>
      <c r="D41" s="528">
        <v>775960.86999999988</v>
      </c>
      <c r="E41" s="550">
        <v>63488.77</v>
      </c>
      <c r="F41" s="545">
        <v>64770.19</v>
      </c>
      <c r="G41" s="546">
        <v>64770.19</v>
      </c>
      <c r="H41" s="547"/>
      <c r="I41" s="546"/>
      <c r="J41" s="545"/>
      <c r="K41" s="548"/>
      <c r="L41" s="548"/>
      <c r="M41" s="549"/>
      <c r="N41" s="543"/>
      <c r="O41" s="530"/>
      <c r="Q41" s="543">
        <f t="shared" si="0"/>
        <v>193029.15</v>
      </c>
      <c r="R41" s="543">
        <v>0</v>
      </c>
    </row>
    <row r="42" spans="1:18" x14ac:dyDescent="0.25">
      <c r="A42" s="527">
        <v>38</v>
      </c>
      <c r="B42" s="526">
        <v>4050</v>
      </c>
      <c r="C42" s="527" t="s">
        <v>277</v>
      </c>
      <c r="D42" s="528">
        <v>6227871.4299999997</v>
      </c>
      <c r="E42" s="550">
        <v>512294.34</v>
      </c>
      <c r="F42" s="545">
        <v>519597.92</v>
      </c>
      <c r="G42" s="546">
        <v>519597.92</v>
      </c>
      <c r="H42" s="547"/>
      <c r="I42" s="546"/>
      <c r="J42" s="545"/>
      <c r="K42" s="548"/>
      <c r="L42" s="548"/>
      <c r="M42" s="549"/>
      <c r="N42" s="543"/>
      <c r="O42" s="530"/>
      <c r="Q42" s="543">
        <f t="shared" si="0"/>
        <v>1551490.18</v>
      </c>
      <c r="R42" s="543">
        <v>0</v>
      </c>
    </row>
    <row r="43" spans="1:18" x14ac:dyDescent="0.25">
      <c r="A43" s="527">
        <v>39</v>
      </c>
      <c r="B43" s="526">
        <v>4051</v>
      </c>
      <c r="C43" s="527" t="s">
        <v>278</v>
      </c>
      <c r="D43" s="528">
        <v>6573895.1500000004</v>
      </c>
      <c r="E43" s="550">
        <v>541173.16</v>
      </c>
      <c r="F43" s="545">
        <v>548429.27</v>
      </c>
      <c r="G43" s="546">
        <v>548429.27</v>
      </c>
      <c r="H43" s="547"/>
      <c r="I43" s="546"/>
      <c r="J43" s="545"/>
      <c r="K43" s="548"/>
      <c r="L43" s="548"/>
      <c r="M43" s="549"/>
      <c r="N43" s="543"/>
      <c r="O43" s="530"/>
      <c r="Q43" s="543">
        <f t="shared" si="0"/>
        <v>1638031.7000000002</v>
      </c>
      <c r="R43" s="543">
        <v>0</v>
      </c>
    </row>
    <row r="44" spans="1:18" x14ac:dyDescent="0.25">
      <c r="A44" s="527">
        <v>40</v>
      </c>
      <c r="B44" s="526">
        <v>4061</v>
      </c>
      <c r="C44" s="527" t="s">
        <v>279</v>
      </c>
      <c r="D44" s="528">
        <v>8356896.4500000002</v>
      </c>
      <c r="E44" s="550">
        <v>686342</v>
      </c>
      <c r="F44" s="545">
        <v>697323.13</v>
      </c>
      <c r="G44" s="546">
        <v>697323.13</v>
      </c>
      <c r="H44" s="547"/>
      <c r="I44" s="546"/>
      <c r="J44" s="545"/>
      <c r="K44" s="548"/>
      <c r="L44" s="548"/>
      <c r="M44" s="549"/>
      <c r="N44" s="543"/>
      <c r="O44" s="530"/>
      <c r="Q44" s="543">
        <f t="shared" si="0"/>
        <v>2080988.2599999998</v>
      </c>
      <c r="R44" s="543">
        <v>0</v>
      </c>
    </row>
    <row r="45" spans="1:18" x14ac:dyDescent="0.25">
      <c r="A45" s="527">
        <v>41</v>
      </c>
      <c r="B45" s="526">
        <v>4080</v>
      </c>
      <c r="C45" s="527" t="s">
        <v>280</v>
      </c>
      <c r="D45" s="564"/>
      <c r="E45" s="565">
        <v>166059.87</v>
      </c>
      <c r="F45" s="598">
        <v>-166059.87</v>
      </c>
      <c r="G45" s="546"/>
      <c r="H45" s="547"/>
      <c r="I45" s="546"/>
      <c r="J45" s="545"/>
      <c r="K45" s="548"/>
      <c r="L45" s="548"/>
      <c r="M45" s="549"/>
      <c r="N45" s="543"/>
      <c r="O45" s="530"/>
      <c r="Q45" s="543">
        <f t="shared" si="0"/>
        <v>0</v>
      </c>
      <c r="R45" s="543">
        <v>0</v>
      </c>
    </row>
    <row r="46" spans="1:18" x14ac:dyDescent="0.25">
      <c r="A46" s="527">
        <v>42</v>
      </c>
      <c r="B46" s="526">
        <v>4081</v>
      </c>
      <c r="C46" s="527" t="s">
        <v>281</v>
      </c>
      <c r="D46" s="528">
        <v>1014899.5700000002</v>
      </c>
      <c r="E46" s="550">
        <v>83555.86</v>
      </c>
      <c r="F46" s="545">
        <v>84667.61</v>
      </c>
      <c r="G46" s="546">
        <v>84667.61</v>
      </c>
      <c r="H46" s="547"/>
      <c r="I46" s="546"/>
      <c r="J46" s="545"/>
      <c r="K46" s="548"/>
      <c r="L46" s="548"/>
      <c r="M46" s="549"/>
      <c r="N46" s="543"/>
      <c r="O46" s="530"/>
      <c r="Q46" s="543">
        <f t="shared" si="0"/>
        <v>252891.08000000002</v>
      </c>
      <c r="R46" s="543">
        <v>0</v>
      </c>
    </row>
    <row r="47" spans="1:18" x14ac:dyDescent="0.25">
      <c r="A47" s="527">
        <v>43</v>
      </c>
      <c r="B47" s="526">
        <v>4090</v>
      </c>
      <c r="C47" s="527" t="s">
        <v>282</v>
      </c>
      <c r="D47" s="528">
        <v>2220850.85</v>
      </c>
      <c r="E47" s="550">
        <v>182095.15</v>
      </c>
      <c r="F47" s="545">
        <v>185341.43</v>
      </c>
      <c r="G47" s="546">
        <v>185341.43</v>
      </c>
      <c r="H47" s="547"/>
      <c r="I47" s="546"/>
      <c r="J47" s="545"/>
      <c r="K47" s="548"/>
      <c r="L47" s="548"/>
      <c r="M47" s="549"/>
      <c r="N47" s="543"/>
      <c r="O47" s="530"/>
      <c r="Q47" s="543">
        <f>SUM(E47:P47)</f>
        <v>552778.01</v>
      </c>
      <c r="R47" s="543">
        <v>0</v>
      </c>
    </row>
    <row r="48" spans="1:18" x14ac:dyDescent="0.25">
      <c r="A48" s="527">
        <v>44</v>
      </c>
      <c r="B48" s="526">
        <v>4091</v>
      </c>
      <c r="C48" s="527" t="s">
        <v>283</v>
      </c>
      <c r="D48" s="528">
        <v>3463844.94</v>
      </c>
      <c r="E48" s="550">
        <v>285991.09999999998</v>
      </c>
      <c r="F48" s="545">
        <v>288895.8</v>
      </c>
      <c r="G48" s="546">
        <v>288895.8</v>
      </c>
      <c r="H48" s="547"/>
      <c r="I48" s="546"/>
      <c r="J48" s="545"/>
      <c r="K48" s="548"/>
      <c r="L48" s="548"/>
      <c r="M48" s="549"/>
      <c r="N48" s="543"/>
      <c r="O48" s="530"/>
      <c r="Q48" s="543">
        <f t="shared" si="0"/>
        <v>863782.7</v>
      </c>
      <c r="R48" s="543">
        <v>0</v>
      </c>
    </row>
    <row r="49" spans="1:18" x14ac:dyDescent="0.25">
      <c r="A49" s="527">
        <v>45</v>
      </c>
      <c r="B49" s="526">
        <v>4100</v>
      </c>
      <c r="C49" s="527" t="s">
        <v>284</v>
      </c>
      <c r="D49" s="528">
        <v>3845172.95</v>
      </c>
      <c r="E49" s="550">
        <v>312807.54399999999</v>
      </c>
      <c r="F49" s="545">
        <v>321124.13</v>
      </c>
      <c r="G49" s="546">
        <v>321124.13</v>
      </c>
      <c r="H49" s="547"/>
      <c r="I49" s="546"/>
      <c r="J49" s="545"/>
      <c r="K49" s="548"/>
      <c r="L49" s="548"/>
      <c r="M49" s="549"/>
      <c r="N49" s="543"/>
      <c r="O49" s="530"/>
      <c r="Q49" s="543">
        <f t="shared" si="0"/>
        <v>955055.804</v>
      </c>
      <c r="R49" s="543">
        <v>0</v>
      </c>
    </row>
    <row r="50" spans="1:18" x14ac:dyDescent="0.25">
      <c r="A50" s="527">
        <v>46</v>
      </c>
      <c r="B50" s="558">
        <v>4102</v>
      </c>
      <c r="C50" s="559" t="s">
        <v>285</v>
      </c>
      <c r="D50" s="560">
        <v>1491672.3</v>
      </c>
      <c r="E50" s="561">
        <v>95722.880000000005</v>
      </c>
      <c r="F50" s="562">
        <v>97565.26</v>
      </c>
      <c r="G50" s="560">
        <v>129838.42</v>
      </c>
      <c r="H50" s="563"/>
      <c r="I50" s="560"/>
      <c r="J50" s="545"/>
      <c r="K50" s="548"/>
      <c r="L50" s="548"/>
      <c r="M50" s="549"/>
      <c r="N50" s="543"/>
      <c r="O50" s="530"/>
      <c r="Q50" s="543">
        <f t="shared" si="0"/>
        <v>323126.56</v>
      </c>
      <c r="R50" s="543">
        <v>0</v>
      </c>
    </row>
    <row r="51" spans="1:18" x14ac:dyDescent="0.25">
      <c r="A51" s="527">
        <v>47</v>
      </c>
      <c r="B51" s="526">
        <v>4103</v>
      </c>
      <c r="C51" s="527" t="s">
        <v>286</v>
      </c>
      <c r="D51" s="528">
        <v>8352715.21</v>
      </c>
      <c r="E51" s="550">
        <v>660664.68999999994</v>
      </c>
      <c r="F51" s="545">
        <v>670046.88</v>
      </c>
      <c r="G51" s="546">
        <v>702200.36</v>
      </c>
      <c r="H51" s="547"/>
      <c r="I51" s="546"/>
      <c r="J51" s="545"/>
      <c r="K51" s="548"/>
      <c r="L51" s="548"/>
      <c r="M51" s="549"/>
      <c r="N51" s="543"/>
      <c r="O51" s="549"/>
      <c r="P51" s="549"/>
      <c r="Q51" s="543">
        <f t="shared" si="0"/>
        <v>2032911.9299999997</v>
      </c>
      <c r="R51" s="543">
        <v>0</v>
      </c>
    </row>
    <row r="52" spans="1:18" x14ac:dyDescent="0.25">
      <c r="A52" s="527">
        <v>48</v>
      </c>
      <c r="B52" s="526">
        <v>4111</v>
      </c>
      <c r="C52" s="527" t="s">
        <v>287</v>
      </c>
      <c r="D52" s="528">
        <v>2453527.7599999998</v>
      </c>
      <c r="E52" s="550">
        <v>200228.99</v>
      </c>
      <c r="F52" s="545">
        <v>202649.33</v>
      </c>
      <c r="G52" s="546">
        <v>205064.94</v>
      </c>
      <c r="H52" s="547"/>
      <c r="I52" s="546"/>
      <c r="J52" s="545"/>
      <c r="K52" s="548"/>
      <c r="L52" s="548"/>
      <c r="M52" s="549"/>
      <c r="N52" s="543"/>
      <c r="O52" s="530"/>
      <c r="Q52" s="543">
        <f t="shared" si="0"/>
        <v>607943.26</v>
      </c>
      <c r="R52" s="543">
        <v>0</v>
      </c>
    </row>
    <row r="53" spans="1:18" x14ac:dyDescent="0.25">
      <c r="A53" s="527">
        <v>49</v>
      </c>
      <c r="B53" s="526">
        <v>4131</v>
      </c>
      <c r="C53" s="527" t="s">
        <v>288</v>
      </c>
      <c r="D53" s="528">
        <v>813090.71000000008</v>
      </c>
      <c r="E53" s="550">
        <v>66112.399999999994</v>
      </c>
      <c r="F53" s="545">
        <v>67065.63</v>
      </c>
      <c r="G53" s="546">
        <v>67991.27</v>
      </c>
      <c r="H53" s="547"/>
      <c r="I53" s="546"/>
      <c r="J53" s="545"/>
      <c r="K53" s="548"/>
      <c r="L53" s="548"/>
      <c r="M53" s="549"/>
      <c r="N53" s="543"/>
      <c r="O53" s="530"/>
      <c r="Q53" s="543">
        <f t="shared" si="0"/>
        <v>201169.3</v>
      </c>
      <c r="R53" s="543">
        <v>0</v>
      </c>
    </row>
    <row r="54" spans="1:18" x14ac:dyDescent="0.25">
      <c r="E54" s="544"/>
      <c r="J54" s="530"/>
      <c r="L54" s="530"/>
      <c r="R54" s="543">
        <f t="shared" ref="R54" si="1">SUM(E54:E54)</f>
        <v>0</v>
      </c>
    </row>
    <row r="55" spans="1:18" x14ac:dyDescent="0.25">
      <c r="D55" s="528">
        <f>SUM(D5:D54)</f>
        <v>207223123.89000005</v>
      </c>
      <c r="E55" s="544">
        <f>SUM(E5:E54)</f>
        <v>16906713.023999993</v>
      </c>
      <c r="F55" s="544">
        <f>SUM(F5:F54)</f>
        <v>16825408.719999999</v>
      </c>
      <c r="G55" s="528">
        <f>SUM(G5:G54)</f>
        <v>17349100.219999999</v>
      </c>
      <c r="H55" s="528">
        <f t="shared" ref="H55:P55" si="2">SUM(H5:H54)</f>
        <v>0</v>
      </c>
      <c r="I55" s="528">
        <f t="shared" si="2"/>
        <v>0</v>
      </c>
      <c r="J55" s="566">
        <f t="shared" si="2"/>
        <v>0</v>
      </c>
      <c r="K55" s="566">
        <f t="shared" si="2"/>
        <v>0</v>
      </c>
      <c r="L55" s="567">
        <f t="shared" si="2"/>
        <v>0</v>
      </c>
      <c r="M55" s="528">
        <f t="shared" si="2"/>
        <v>0</v>
      </c>
      <c r="N55" s="528">
        <f t="shared" si="2"/>
        <v>0</v>
      </c>
      <c r="O55" s="528">
        <f t="shared" si="2"/>
        <v>0</v>
      </c>
      <c r="P55" s="567">
        <f t="shared" si="2"/>
        <v>0</v>
      </c>
      <c r="Q55" s="528">
        <f>SUM(Q5:Q54)</f>
        <v>51081221.963999994</v>
      </c>
      <c r="R55" s="543">
        <f>SUM(E55:E55)</f>
        <v>16906713.023999993</v>
      </c>
    </row>
    <row r="57" spans="1:18" x14ac:dyDescent="0.25">
      <c r="B57" s="598">
        <v>166059.87</v>
      </c>
      <c r="C57" s="527" t="s">
        <v>430</v>
      </c>
      <c r="I57" s="568" t="s">
        <v>204</v>
      </c>
      <c r="J57" s="544">
        <f>'Annual Rev &amp; Fees'!L56</f>
        <v>207223123.89000005</v>
      </c>
      <c r="L57" s="569"/>
    </row>
    <row r="58" spans="1:18" x14ac:dyDescent="0.25">
      <c r="I58" s="568" t="s">
        <v>431</v>
      </c>
      <c r="J58" s="570">
        <f>D55-E55-F55</f>
        <v>173491002.14600006</v>
      </c>
      <c r="L58" s="569"/>
    </row>
    <row r="59" spans="1:18" x14ac:dyDescent="0.25">
      <c r="I59" s="568" t="s">
        <v>432</v>
      </c>
      <c r="J59" s="571">
        <f>J58/10</f>
        <v>17349100.214600004</v>
      </c>
      <c r="K59" s="572"/>
      <c r="L59" s="569"/>
    </row>
    <row r="60" spans="1:18" x14ac:dyDescent="0.25">
      <c r="I60" s="568" t="s">
        <v>433</v>
      </c>
      <c r="J60" s="570">
        <f>G55</f>
        <v>17349100.219999999</v>
      </c>
      <c r="L60" s="569"/>
    </row>
    <row r="61" spans="1:18" x14ac:dyDescent="0.25">
      <c r="J61" s="571">
        <f>J59-J60</f>
        <v>-5.3999945521354675E-3</v>
      </c>
      <c r="K61" s="529" t="s">
        <v>434</v>
      </c>
      <c r="L61" s="569"/>
    </row>
    <row r="62" spans="1:18" x14ac:dyDescent="0.25">
      <c r="J62" s="569"/>
      <c r="L62" s="569"/>
    </row>
    <row r="63" spans="1:18" x14ac:dyDescent="0.25">
      <c r="D63" s="556"/>
      <c r="J63" s="569"/>
      <c r="L63" s="569"/>
    </row>
    <row r="67" spans="1:18" x14ac:dyDescent="0.25">
      <c r="N67" s="531" t="s">
        <v>435</v>
      </c>
    </row>
    <row r="69" spans="1:18" ht="45" x14ac:dyDescent="0.25">
      <c r="A69" s="533" t="s">
        <v>52</v>
      </c>
      <c r="B69" s="534" t="s">
        <v>52</v>
      </c>
      <c r="C69" s="533" t="s">
        <v>52</v>
      </c>
      <c r="D69" s="535" t="s">
        <v>204</v>
      </c>
      <c r="E69" s="535" t="s">
        <v>416</v>
      </c>
      <c r="F69" s="534" t="s">
        <v>417</v>
      </c>
      <c r="G69" s="534" t="s">
        <v>418</v>
      </c>
      <c r="H69" s="534" t="s">
        <v>419</v>
      </c>
      <c r="I69" s="534" t="s">
        <v>420</v>
      </c>
      <c r="J69" s="534" t="s">
        <v>421</v>
      </c>
      <c r="K69" s="536" t="s">
        <v>422</v>
      </c>
      <c r="L69" s="534" t="s">
        <v>423</v>
      </c>
      <c r="M69" s="534" t="s">
        <v>424</v>
      </c>
      <c r="N69" s="534" t="s">
        <v>425</v>
      </c>
      <c r="O69" s="534" t="s">
        <v>426</v>
      </c>
      <c r="P69" s="537" t="s">
        <v>427</v>
      </c>
      <c r="Q69" s="534" t="s">
        <v>125</v>
      </c>
      <c r="R69" s="538" t="s">
        <v>428</v>
      </c>
    </row>
    <row r="70" spans="1:18" x14ac:dyDescent="0.25">
      <c r="A70" s="527">
        <v>1</v>
      </c>
      <c r="B70" s="539" t="s">
        <v>212</v>
      </c>
      <c r="C70" s="527" t="s">
        <v>213</v>
      </c>
      <c r="D70" s="540">
        <v>298028.77999999997</v>
      </c>
      <c r="E70" s="540">
        <v>24451.48</v>
      </c>
      <c r="F70" s="587">
        <v>24870.66</v>
      </c>
      <c r="G70" s="534"/>
      <c r="H70" s="541"/>
      <c r="I70" s="541"/>
      <c r="J70" s="541"/>
      <c r="K70" s="542"/>
      <c r="L70" s="542"/>
      <c r="M70" s="541"/>
      <c r="N70" s="541"/>
      <c r="O70" s="541"/>
      <c r="P70" s="537"/>
      <c r="Q70" s="573">
        <f>SUM(E70:P70)</f>
        <v>49322.14</v>
      </c>
      <c r="R70" s="543">
        <f>SUM(E70:F70)</f>
        <v>49322.14</v>
      </c>
    </row>
    <row r="71" spans="1:18" x14ac:dyDescent="0.25">
      <c r="A71" s="527">
        <v>2</v>
      </c>
      <c r="B71" s="539" t="s">
        <v>214</v>
      </c>
      <c r="C71" s="527" t="s">
        <v>215</v>
      </c>
      <c r="D71" s="540">
        <v>267259.57</v>
      </c>
      <c r="E71" s="540">
        <v>22293.06</v>
      </c>
      <c r="F71" s="587">
        <v>22269.68</v>
      </c>
      <c r="G71" s="534"/>
      <c r="H71" s="541"/>
      <c r="I71" s="541"/>
      <c r="J71" s="541"/>
      <c r="K71" s="542"/>
      <c r="L71" s="542"/>
      <c r="M71" s="541"/>
      <c r="N71" s="541"/>
      <c r="O71" s="541"/>
      <c r="P71" s="537"/>
      <c r="Q71" s="573">
        <f>SUM(E71:P71)</f>
        <v>44562.740000000005</v>
      </c>
      <c r="R71" s="543">
        <f t="shared" ref="R71:R118" si="3">SUM(E71:F71)</f>
        <v>44562.740000000005</v>
      </c>
    </row>
    <row r="72" spans="1:18" x14ac:dyDescent="0.25">
      <c r="A72" s="527">
        <v>3</v>
      </c>
      <c r="B72" s="526" t="s">
        <v>216</v>
      </c>
      <c r="C72" s="527" t="s">
        <v>217</v>
      </c>
      <c r="D72" s="528">
        <v>5905730.7300000004</v>
      </c>
      <c r="E72" s="544">
        <v>485398.34</v>
      </c>
      <c r="F72" s="546">
        <v>492757.49</v>
      </c>
      <c r="G72" s="546"/>
      <c r="H72" s="546"/>
      <c r="I72" s="545"/>
      <c r="J72" s="545"/>
      <c r="K72" s="548"/>
      <c r="L72" s="549"/>
      <c r="M72" s="549"/>
      <c r="N72" s="549"/>
      <c r="O72" s="530"/>
      <c r="Q72" s="573">
        <f>SUM(E72:P72)</f>
        <v>978155.83000000007</v>
      </c>
      <c r="R72" s="543">
        <f t="shared" si="3"/>
        <v>978155.83000000007</v>
      </c>
    </row>
    <row r="73" spans="1:18" x14ac:dyDescent="0.25">
      <c r="A73" s="527">
        <v>4</v>
      </c>
      <c r="B73" s="526" t="s">
        <v>218</v>
      </c>
      <c r="C73" s="527" t="s">
        <v>219</v>
      </c>
      <c r="D73" s="528">
        <v>9687740.0200000014</v>
      </c>
      <c r="E73" s="550">
        <v>795164.86</v>
      </c>
      <c r="F73" s="546">
        <v>808415.92</v>
      </c>
      <c r="G73" s="546"/>
      <c r="H73" s="546"/>
      <c r="I73" s="545"/>
      <c r="J73" s="545"/>
      <c r="K73" s="548"/>
      <c r="L73" s="549"/>
      <c r="M73" s="549"/>
      <c r="N73" s="549"/>
      <c r="O73" s="530"/>
      <c r="Q73" s="573">
        <f>SUM(E73:P73)</f>
        <v>1603580.78</v>
      </c>
      <c r="R73" s="543">
        <f t="shared" si="3"/>
        <v>1603580.78</v>
      </c>
    </row>
    <row r="74" spans="1:18" x14ac:dyDescent="0.25">
      <c r="A74" s="527">
        <v>5</v>
      </c>
      <c r="B74" s="526" t="s">
        <v>220</v>
      </c>
      <c r="C74" s="527" t="s">
        <v>221</v>
      </c>
      <c r="D74" s="528">
        <v>1350384.3499999999</v>
      </c>
      <c r="E74" s="550">
        <v>112200.54</v>
      </c>
      <c r="F74" s="546">
        <v>112562.16</v>
      </c>
      <c r="G74" s="546"/>
      <c r="H74" s="546"/>
      <c r="I74" s="545"/>
      <c r="J74" s="545"/>
      <c r="K74" s="548"/>
      <c r="L74" s="549"/>
      <c r="M74" s="549"/>
      <c r="N74" s="549"/>
      <c r="O74" s="530"/>
      <c r="Q74" s="573">
        <f t="shared" ref="Q74:Q118" si="4">SUM(E74:P74)</f>
        <v>224762.7</v>
      </c>
      <c r="R74" s="543">
        <f t="shared" si="3"/>
        <v>224762.7</v>
      </c>
    </row>
    <row r="75" spans="1:18" x14ac:dyDescent="0.25">
      <c r="A75" s="527">
        <v>6</v>
      </c>
      <c r="B75" s="526" t="s">
        <v>222</v>
      </c>
      <c r="C75" s="527" t="s">
        <v>318</v>
      </c>
      <c r="D75" s="556">
        <v>1583711.73</v>
      </c>
      <c r="E75" s="550">
        <v>128465.38</v>
      </c>
      <c r="F75" s="546">
        <v>132295.12</v>
      </c>
      <c r="G75" s="546"/>
      <c r="H75" s="546"/>
      <c r="I75" s="545"/>
      <c r="J75" s="545"/>
      <c r="K75" s="548"/>
      <c r="L75" s="549"/>
      <c r="M75" s="549"/>
      <c r="N75" s="549"/>
      <c r="O75" s="530"/>
      <c r="Q75" s="573">
        <f t="shared" si="4"/>
        <v>260760.5</v>
      </c>
      <c r="R75" s="543">
        <f t="shared" si="3"/>
        <v>260760.5</v>
      </c>
    </row>
    <row r="76" spans="1:18" x14ac:dyDescent="0.25">
      <c r="A76" s="527">
        <v>7</v>
      </c>
      <c r="B76" s="526" t="s">
        <v>224</v>
      </c>
      <c r="C76" s="527" t="s">
        <v>225</v>
      </c>
      <c r="D76" s="528">
        <v>5346468.25</v>
      </c>
      <c r="E76" s="550">
        <v>440248.86</v>
      </c>
      <c r="F76" s="546">
        <v>446019.94</v>
      </c>
      <c r="G76" s="546"/>
      <c r="H76" s="546"/>
      <c r="I76" s="545"/>
      <c r="J76" s="545"/>
      <c r="K76" s="548"/>
      <c r="L76" s="549"/>
      <c r="M76" s="549"/>
      <c r="N76" s="549"/>
      <c r="O76" s="530"/>
      <c r="Q76" s="573">
        <f t="shared" si="4"/>
        <v>886268.8</v>
      </c>
      <c r="R76" s="543">
        <f t="shared" si="3"/>
        <v>886268.8</v>
      </c>
    </row>
    <row r="77" spans="1:18" x14ac:dyDescent="0.25">
      <c r="A77" s="527">
        <v>8</v>
      </c>
      <c r="B77" s="526" t="s">
        <v>226</v>
      </c>
      <c r="C77" s="527" t="s">
        <v>227</v>
      </c>
      <c r="D77" s="528">
        <v>5255370.76</v>
      </c>
      <c r="E77" s="550">
        <v>433777.9</v>
      </c>
      <c r="F77" s="546">
        <v>438326.62</v>
      </c>
      <c r="G77" s="546"/>
      <c r="H77" s="546"/>
      <c r="I77" s="545"/>
      <c r="J77" s="545"/>
      <c r="K77" s="548"/>
      <c r="L77" s="549"/>
      <c r="M77" s="549"/>
      <c r="N77" s="549"/>
      <c r="O77" s="530"/>
      <c r="Q77" s="573">
        <f t="shared" si="4"/>
        <v>872104.52</v>
      </c>
      <c r="R77" s="543">
        <f t="shared" si="3"/>
        <v>872104.52</v>
      </c>
    </row>
    <row r="78" spans="1:18" x14ac:dyDescent="0.25">
      <c r="A78" s="527">
        <v>9</v>
      </c>
      <c r="B78" s="526" t="s">
        <v>228</v>
      </c>
      <c r="C78" s="527" t="s">
        <v>229</v>
      </c>
      <c r="D78" s="528">
        <v>6152950.2399999993</v>
      </c>
      <c r="E78" s="550">
        <v>505265.93</v>
      </c>
      <c r="F78" s="546">
        <v>513425.85</v>
      </c>
      <c r="G78" s="546"/>
      <c r="H78" s="546"/>
      <c r="I78" s="545"/>
      <c r="J78" s="545"/>
      <c r="K78" s="548"/>
      <c r="L78" s="549"/>
      <c r="M78" s="549"/>
      <c r="N78" s="549"/>
      <c r="O78" s="530"/>
      <c r="Q78" s="573">
        <f t="shared" si="4"/>
        <v>1018691.78</v>
      </c>
      <c r="R78" s="543">
        <f t="shared" si="3"/>
        <v>1018691.78</v>
      </c>
    </row>
    <row r="79" spans="1:18" x14ac:dyDescent="0.25">
      <c r="A79" s="527">
        <v>10</v>
      </c>
      <c r="B79" s="526" t="s">
        <v>230</v>
      </c>
      <c r="C79" s="527" t="s">
        <v>231</v>
      </c>
      <c r="D79" s="528">
        <v>10423112.100000001</v>
      </c>
      <c r="E79" s="550">
        <v>858865.25</v>
      </c>
      <c r="F79" s="546">
        <v>869504.11</v>
      </c>
      <c r="G79" s="546"/>
      <c r="H79" s="546"/>
      <c r="I79" s="545"/>
      <c r="J79" s="545"/>
      <c r="K79" s="548"/>
      <c r="L79" s="549"/>
      <c r="M79" s="549"/>
      <c r="N79" s="549"/>
      <c r="O79" s="530"/>
      <c r="Q79" s="573">
        <f t="shared" si="4"/>
        <v>1728369.3599999999</v>
      </c>
      <c r="R79" s="543">
        <f t="shared" si="3"/>
        <v>1728369.3599999999</v>
      </c>
    </row>
    <row r="80" spans="1:18" x14ac:dyDescent="0.25">
      <c r="A80" s="527">
        <v>11</v>
      </c>
      <c r="B80" s="526" t="s">
        <v>232</v>
      </c>
      <c r="C80" s="527" t="s">
        <v>233</v>
      </c>
      <c r="D80" s="528">
        <v>5952516.4199999999</v>
      </c>
      <c r="E80" s="550">
        <v>484859.99</v>
      </c>
      <c r="F80" s="546">
        <v>497059.68</v>
      </c>
      <c r="G80" s="546"/>
      <c r="H80" s="546"/>
      <c r="I80" s="545"/>
      <c r="J80" s="545"/>
      <c r="K80" s="548"/>
      <c r="L80" s="549"/>
      <c r="M80" s="549"/>
      <c r="N80" s="549"/>
      <c r="O80" s="530"/>
      <c r="Q80" s="573">
        <f t="shared" si="4"/>
        <v>981919.66999999993</v>
      </c>
      <c r="R80" s="543">
        <f t="shared" si="3"/>
        <v>981919.66999999993</v>
      </c>
    </row>
    <row r="81" spans="1:18" x14ac:dyDescent="0.25">
      <c r="A81" s="527">
        <v>12</v>
      </c>
      <c r="B81" s="526" t="s">
        <v>234</v>
      </c>
      <c r="C81" s="527" t="s">
        <v>235</v>
      </c>
      <c r="D81" s="528">
        <v>1095429.95</v>
      </c>
      <c r="E81" s="550">
        <v>90419.86</v>
      </c>
      <c r="F81" s="546">
        <v>91364.55</v>
      </c>
      <c r="G81" s="546"/>
      <c r="H81" s="546"/>
      <c r="I81" s="545"/>
      <c r="J81" s="545"/>
      <c r="K81" s="548"/>
      <c r="L81" s="549"/>
      <c r="M81" s="549"/>
      <c r="N81" s="549"/>
      <c r="O81" s="530"/>
      <c r="Q81" s="573">
        <f t="shared" si="4"/>
        <v>181784.41</v>
      </c>
      <c r="R81" s="543">
        <f t="shared" si="3"/>
        <v>181784.41</v>
      </c>
    </row>
    <row r="82" spans="1:18" x14ac:dyDescent="0.25">
      <c r="A82" s="527">
        <v>13</v>
      </c>
      <c r="B82" s="526" t="s">
        <v>236</v>
      </c>
      <c r="C82" s="527" t="s">
        <v>237</v>
      </c>
      <c r="D82" s="528">
        <v>9142489.2800000012</v>
      </c>
      <c r="E82" s="550">
        <v>750894</v>
      </c>
      <c r="F82" s="546">
        <v>762872.3</v>
      </c>
      <c r="G82" s="546"/>
      <c r="H82" s="546"/>
      <c r="I82" s="545"/>
      <c r="J82" s="545"/>
      <c r="K82" s="548"/>
      <c r="L82" s="549"/>
      <c r="M82" s="549"/>
      <c r="N82" s="549"/>
      <c r="O82" s="530"/>
      <c r="Q82" s="573">
        <f t="shared" si="4"/>
        <v>1513766.3</v>
      </c>
      <c r="R82" s="543">
        <f t="shared" si="3"/>
        <v>1513766.3</v>
      </c>
    </row>
    <row r="83" spans="1:18" x14ac:dyDescent="0.25">
      <c r="A83" s="527">
        <v>14</v>
      </c>
      <c r="B83" s="526" t="s">
        <v>238</v>
      </c>
      <c r="C83" s="527" t="s">
        <v>239</v>
      </c>
      <c r="D83" s="528">
        <v>2427071.44</v>
      </c>
      <c r="E83" s="550">
        <v>199480.37</v>
      </c>
      <c r="F83" s="546">
        <v>202508.28</v>
      </c>
      <c r="G83" s="546"/>
      <c r="H83" s="546"/>
      <c r="I83" s="545"/>
      <c r="J83" s="545"/>
      <c r="K83" s="548"/>
      <c r="L83" s="549"/>
      <c r="M83" s="549"/>
      <c r="N83" s="549"/>
      <c r="O83" s="530"/>
      <c r="Q83" s="573">
        <f t="shared" si="4"/>
        <v>401988.65</v>
      </c>
      <c r="R83" s="543">
        <f t="shared" si="3"/>
        <v>401988.65</v>
      </c>
    </row>
    <row r="84" spans="1:18" x14ac:dyDescent="0.25">
      <c r="A84" s="527">
        <v>15</v>
      </c>
      <c r="B84" s="526" t="s">
        <v>240</v>
      </c>
      <c r="C84" s="527" t="s">
        <v>241</v>
      </c>
      <c r="D84" s="556">
        <v>0</v>
      </c>
      <c r="E84" s="550"/>
      <c r="F84" s="546">
        <v>0</v>
      </c>
      <c r="G84" s="546"/>
      <c r="H84" s="546"/>
      <c r="I84" s="545"/>
      <c r="J84" s="545"/>
      <c r="K84" s="548"/>
      <c r="L84" s="549"/>
      <c r="M84" s="549"/>
      <c r="N84" s="549"/>
      <c r="O84" s="530"/>
      <c r="Q84" s="573">
        <f t="shared" si="4"/>
        <v>0</v>
      </c>
      <c r="R84" s="543">
        <f t="shared" si="3"/>
        <v>0</v>
      </c>
    </row>
    <row r="85" spans="1:18" x14ac:dyDescent="0.25">
      <c r="A85" s="527">
        <v>16</v>
      </c>
      <c r="B85" s="526" t="s">
        <v>242</v>
      </c>
      <c r="C85" s="527" t="s">
        <v>243</v>
      </c>
      <c r="D85" s="528">
        <v>1653077.94</v>
      </c>
      <c r="E85" s="550">
        <v>136646.84</v>
      </c>
      <c r="F85" s="546">
        <v>137857.37</v>
      </c>
      <c r="G85" s="546"/>
      <c r="H85" s="546"/>
      <c r="I85" s="545"/>
      <c r="J85" s="545"/>
      <c r="K85" s="548"/>
      <c r="L85" s="549"/>
      <c r="M85" s="549"/>
      <c r="N85" s="549"/>
      <c r="O85" s="530"/>
      <c r="Q85" s="573">
        <f t="shared" si="4"/>
        <v>274504.20999999996</v>
      </c>
      <c r="R85" s="543">
        <f t="shared" si="3"/>
        <v>274504.20999999996</v>
      </c>
    </row>
    <row r="86" spans="1:18" x14ac:dyDescent="0.25">
      <c r="A86" s="527">
        <v>17</v>
      </c>
      <c r="B86" s="526" t="s">
        <v>244</v>
      </c>
      <c r="C86" s="527" t="s">
        <v>245</v>
      </c>
      <c r="D86" s="528">
        <v>4417918.6399999997</v>
      </c>
      <c r="E86" s="550">
        <v>363962.87</v>
      </c>
      <c r="F86" s="546">
        <v>368541.43</v>
      </c>
      <c r="G86" s="546"/>
      <c r="H86" s="546"/>
      <c r="I86" s="545"/>
      <c r="J86" s="545"/>
      <c r="K86" s="548"/>
      <c r="L86" s="549"/>
      <c r="M86" s="549"/>
      <c r="N86" s="549"/>
      <c r="O86" s="530"/>
      <c r="Q86" s="573">
        <f t="shared" si="4"/>
        <v>732504.3</v>
      </c>
      <c r="R86" s="543">
        <f t="shared" si="3"/>
        <v>732504.3</v>
      </c>
    </row>
    <row r="87" spans="1:18" x14ac:dyDescent="0.25">
      <c r="A87" s="527">
        <v>18</v>
      </c>
      <c r="B87" s="526" t="s">
        <v>246</v>
      </c>
      <c r="C87" s="527" t="s">
        <v>247</v>
      </c>
      <c r="D87" s="528">
        <v>5867214.7299999995</v>
      </c>
      <c r="E87" s="550">
        <v>481353.82</v>
      </c>
      <c r="F87" s="546">
        <v>489623.72</v>
      </c>
      <c r="G87" s="546"/>
      <c r="H87" s="546"/>
      <c r="I87" s="545"/>
      <c r="J87" s="545"/>
      <c r="K87" s="548"/>
      <c r="L87" s="549"/>
      <c r="M87" s="549"/>
      <c r="N87" s="549"/>
      <c r="O87" s="530"/>
      <c r="Q87" s="573">
        <f t="shared" si="4"/>
        <v>970977.54</v>
      </c>
      <c r="R87" s="543">
        <f t="shared" si="3"/>
        <v>970977.54</v>
      </c>
    </row>
    <row r="88" spans="1:18" x14ac:dyDescent="0.25">
      <c r="A88" s="527">
        <v>19</v>
      </c>
      <c r="B88" s="526" t="s">
        <v>248</v>
      </c>
      <c r="C88" s="527" t="s">
        <v>249</v>
      </c>
      <c r="D88" s="528">
        <v>919769.33000000007</v>
      </c>
      <c r="E88" s="550">
        <v>75370.149999999994</v>
      </c>
      <c r="F88" s="546">
        <v>76763.56</v>
      </c>
      <c r="G88" s="546"/>
      <c r="H88" s="546"/>
      <c r="I88" s="545"/>
      <c r="J88" s="545"/>
      <c r="K88" s="548"/>
      <c r="L88" s="549"/>
      <c r="M88" s="549"/>
      <c r="N88" s="549"/>
      <c r="O88" s="530"/>
      <c r="Q88" s="573">
        <f t="shared" si="4"/>
        <v>152133.71</v>
      </c>
      <c r="R88" s="543">
        <f t="shared" si="3"/>
        <v>152133.71</v>
      </c>
    </row>
    <row r="89" spans="1:18" x14ac:dyDescent="0.25">
      <c r="A89" s="527">
        <v>20</v>
      </c>
      <c r="B89" s="526" t="s">
        <v>250</v>
      </c>
      <c r="C89" s="527" t="s">
        <v>251</v>
      </c>
      <c r="D89" s="528">
        <v>1132579.8100000003</v>
      </c>
      <c r="E89" s="550">
        <v>93540.76</v>
      </c>
      <c r="F89" s="546">
        <v>94458.1</v>
      </c>
      <c r="G89" s="546"/>
      <c r="H89" s="546"/>
      <c r="I89" s="545"/>
      <c r="J89" s="545"/>
      <c r="K89" s="548"/>
      <c r="L89" s="549"/>
      <c r="M89" s="549"/>
      <c r="N89" s="549"/>
      <c r="O89" s="530"/>
      <c r="Q89" s="573">
        <f t="shared" si="4"/>
        <v>187998.86</v>
      </c>
      <c r="R89" s="543">
        <f t="shared" si="3"/>
        <v>187998.86</v>
      </c>
    </row>
    <row r="90" spans="1:18" x14ac:dyDescent="0.25">
      <c r="A90" s="527">
        <v>21</v>
      </c>
      <c r="B90" s="526" t="s">
        <v>252</v>
      </c>
      <c r="C90" s="527" t="s">
        <v>253</v>
      </c>
      <c r="D90" s="528">
        <v>3550532.1600000006</v>
      </c>
      <c r="E90" s="550">
        <v>291401.55</v>
      </c>
      <c r="F90" s="546">
        <v>296284.59999999998</v>
      </c>
      <c r="G90" s="546"/>
      <c r="H90" s="546"/>
      <c r="I90" s="545"/>
      <c r="J90" s="545"/>
      <c r="K90" s="548"/>
      <c r="L90" s="549"/>
      <c r="M90" s="549"/>
      <c r="N90" s="549"/>
      <c r="O90" s="530"/>
      <c r="Q90" s="573">
        <f t="shared" si="4"/>
        <v>587686.14999999991</v>
      </c>
      <c r="R90" s="543">
        <f t="shared" si="3"/>
        <v>587686.14999999991</v>
      </c>
    </row>
    <row r="91" spans="1:18" x14ac:dyDescent="0.25">
      <c r="A91" s="527">
        <v>22</v>
      </c>
      <c r="B91" s="526" t="s">
        <v>254</v>
      </c>
      <c r="C91" s="527" t="s">
        <v>255</v>
      </c>
      <c r="D91" s="528">
        <v>3434816.54</v>
      </c>
      <c r="E91" s="550">
        <v>282765.64</v>
      </c>
      <c r="F91" s="546">
        <v>286550.08</v>
      </c>
      <c r="G91" s="546"/>
      <c r="H91" s="546"/>
      <c r="I91" s="545"/>
      <c r="J91" s="545"/>
      <c r="K91" s="548"/>
      <c r="L91" s="549"/>
      <c r="M91" s="549"/>
      <c r="N91" s="549"/>
      <c r="O91" s="530"/>
      <c r="Q91" s="573">
        <f t="shared" si="4"/>
        <v>569315.72</v>
      </c>
      <c r="R91" s="543">
        <f t="shared" si="3"/>
        <v>569315.72</v>
      </c>
    </row>
    <row r="92" spans="1:18" x14ac:dyDescent="0.25">
      <c r="A92" s="527">
        <v>23</v>
      </c>
      <c r="B92" s="526" t="s">
        <v>256</v>
      </c>
      <c r="C92" s="527" t="s">
        <v>257</v>
      </c>
      <c r="D92" s="528">
        <v>3841654.26</v>
      </c>
      <c r="E92" s="550">
        <v>318686.65000000002</v>
      </c>
      <c r="F92" s="546">
        <v>320269.78000000003</v>
      </c>
      <c r="G92" s="546"/>
      <c r="H92" s="546"/>
      <c r="I92" s="545"/>
      <c r="J92" s="545"/>
      <c r="K92" s="548"/>
      <c r="L92" s="549"/>
      <c r="M92" s="549"/>
      <c r="N92" s="549"/>
      <c r="O92" s="530"/>
      <c r="Q92" s="573">
        <f t="shared" si="4"/>
        <v>638956.43000000005</v>
      </c>
      <c r="R92" s="543">
        <f t="shared" si="3"/>
        <v>638956.43000000005</v>
      </c>
    </row>
    <row r="93" spans="1:18" x14ac:dyDescent="0.25">
      <c r="A93" s="527">
        <v>24</v>
      </c>
      <c r="B93" s="526" t="s">
        <v>258</v>
      </c>
      <c r="C93" s="527" t="s">
        <v>259</v>
      </c>
      <c r="D93" s="528">
        <v>8841825.3200000003</v>
      </c>
      <c r="E93" s="550">
        <v>727291.13</v>
      </c>
      <c r="F93" s="546">
        <v>737684.93</v>
      </c>
      <c r="G93" s="546"/>
      <c r="H93" s="546"/>
      <c r="I93" s="545"/>
      <c r="J93" s="545"/>
      <c r="K93" s="548"/>
      <c r="L93" s="549"/>
      <c r="M93" s="549"/>
      <c r="N93" s="549"/>
      <c r="O93" s="530"/>
      <c r="Q93" s="573">
        <f t="shared" si="4"/>
        <v>1464976.06</v>
      </c>
      <c r="R93" s="543">
        <f t="shared" si="3"/>
        <v>1464976.06</v>
      </c>
    </row>
    <row r="94" spans="1:18" x14ac:dyDescent="0.25">
      <c r="A94" s="527">
        <v>25</v>
      </c>
      <c r="B94" s="526">
        <v>3441</v>
      </c>
      <c r="C94" s="527" t="s">
        <v>260</v>
      </c>
      <c r="D94" s="528">
        <v>4458303.79</v>
      </c>
      <c r="E94" s="550">
        <v>365051.77</v>
      </c>
      <c r="F94" s="546">
        <v>372113.82</v>
      </c>
      <c r="G94" s="546"/>
      <c r="H94" s="546"/>
      <c r="I94" s="545"/>
      <c r="J94" s="545"/>
      <c r="K94" s="548"/>
      <c r="L94" s="549"/>
      <c r="M94" s="549"/>
      <c r="N94" s="549"/>
      <c r="O94" s="530"/>
      <c r="Q94" s="573">
        <f t="shared" si="4"/>
        <v>737165.59000000008</v>
      </c>
      <c r="R94" s="543">
        <f t="shared" si="3"/>
        <v>737165.59000000008</v>
      </c>
    </row>
    <row r="95" spans="1:18" x14ac:dyDescent="0.25">
      <c r="A95" s="527">
        <v>26</v>
      </c>
      <c r="B95" s="526">
        <v>3924</v>
      </c>
      <c r="C95" s="527" t="s">
        <v>261</v>
      </c>
      <c r="D95" s="528">
        <v>3693471.08</v>
      </c>
      <c r="E95" s="550">
        <v>303122.37</v>
      </c>
      <c r="F95" s="546">
        <v>308213.52</v>
      </c>
      <c r="G95" s="546"/>
      <c r="H95" s="546"/>
      <c r="I95" s="545"/>
      <c r="J95" s="545"/>
      <c r="K95" s="548"/>
      <c r="L95" s="549"/>
      <c r="M95" s="549"/>
      <c r="N95" s="549"/>
      <c r="O95" s="530"/>
      <c r="Q95" s="573">
        <f t="shared" si="4"/>
        <v>611335.89</v>
      </c>
      <c r="R95" s="543">
        <f t="shared" si="3"/>
        <v>611335.89</v>
      </c>
    </row>
    <row r="96" spans="1:18" x14ac:dyDescent="0.25">
      <c r="A96" s="527">
        <v>27</v>
      </c>
      <c r="B96" s="526" t="s">
        <v>262</v>
      </c>
      <c r="C96" s="527" t="s">
        <v>263</v>
      </c>
      <c r="D96" s="528">
        <v>2020244.56</v>
      </c>
      <c r="E96" s="550">
        <v>166503.70000000001</v>
      </c>
      <c r="F96" s="546">
        <v>168521.9</v>
      </c>
      <c r="G96" s="546"/>
      <c r="H96" s="546"/>
      <c r="I96" s="545"/>
      <c r="J96" s="545"/>
      <c r="K96" s="548"/>
      <c r="L96" s="549"/>
      <c r="M96" s="549"/>
      <c r="N96" s="549"/>
      <c r="O96" s="530"/>
      <c r="Q96" s="573">
        <f t="shared" si="4"/>
        <v>335025.59999999998</v>
      </c>
      <c r="R96" s="543">
        <f t="shared" si="3"/>
        <v>335025.59999999998</v>
      </c>
    </row>
    <row r="97" spans="1:18" x14ac:dyDescent="0.25">
      <c r="A97" s="527">
        <v>28</v>
      </c>
      <c r="B97" s="526" t="s">
        <v>264</v>
      </c>
      <c r="C97" s="527" t="s">
        <v>265</v>
      </c>
      <c r="D97" s="560">
        <v>0</v>
      </c>
      <c r="E97" s="561"/>
      <c r="F97" s="546">
        <v>0</v>
      </c>
      <c r="G97" s="546"/>
      <c r="H97" s="546"/>
      <c r="I97" s="545"/>
      <c r="J97" s="545"/>
      <c r="K97" s="548"/>
      <c r="L97" s="549"/>
      <c r="M97" s="549"/>
      <c r="N97" s="549"/>
      <c r="O97" s="530"/>
      <c r="Q97" s="573">
        <f t="shared" si="4"/>
        <v>0</v>
      </c>
      <c r="R97" s="543">
        <f t="shared" si="3"/>
        <v>0</v>
      </c>
    </row>
    <row r="98" spans="1:18" x14ac:dyDescent="0.25">
      <c r="A98" s="527">
        <v>29</v>
      </c>
      <c r="B98" s="526" t="s">
        <v>266</v>
      </c>
      <c r="C98" s="527" t="s">
        <v>429</v>
      </c>
      <c r="D98" s="528">
        <v>5099211.84</v>
      </c>
      <c r="E98" s="550">
        <v>418200.93</v>
      </c>
      <c r="F98" s="546">
        <v>425546.45</v>
      </c>
      <c r="G98" s="546"/>
      <c r="H98" s="546"/>
      <c r="I98" s="545"/>
      <c r="J98" s="545"/>
      <c r="K98" s="548"/>
      <c r="L98" s="549"/>
      <c r="M98" s="549"/>
      <c r="N98" s="549"/>
      <c r="O98" s="530"/>
      <c r="Q98" s="573">
        <f>SUM(E98:P98)</f>
        <v>843747.38</v>
      </c>
      <c r="R98" s="543">
        <f t="shared" si="3"/>
        <v>843747.38</v>
      </c>
    </row>
    <row r="99" spans="1:18" x14ac:dyDescent="0.25">
      <c r="A99" s="527">
        <v>30</v>
      </c>
      <c r="B99" s="526" t="s">
        <v>268</v>
      </c>
      <c r="C99" s="527" t="s">
        <v>269</v>
      </c>
      <c r="D99" s="528">
        <v>5914578.1399999997</v>
      </c>
      <c r="E99" s="550">
        <v>486040.8</v>
      </c>
      <c r="F99" s="546">
        <v>493503.39</v>
      </c>
      <c r="G99" s="546"/>
      <c r="H99" s="546"/>
      <c r="I99" s="545"/>
      <c r="J99" s="545"/>
      <c r="K99" s="548"/>
      <c r="L99" s="549"/>
      <c r="M99" s="549"/>
      <c r="N99" s="549"/>
      <c r="O99" s="530"/>
      <c r="Q99" s="573">
        <f t="shared" si="4"/>
        <v>979544.19</v>
      </c>
      <c r="R99" s="543">
        <f t="shared" si="3"/>
        <v>979544.19</v>
      </c>
    </row>
    <row r="100" spans="1:18" x14ac:dyDescent="0.25">
      <c r="A100" s="527">
        <v>31</v>
      </c>
      <c r="B100" s="526">
        <v>4002</v>
      </c>
      <c r="C100" s="527" t="s">
        <v>270</v>
      </c>
      <c r="D100" s="528">
        <v>8574250.8399999999</v>
      </c>
      <c r="E100" s="550">
        <v>707326.89</v>
      </c>
      <c r="F100" s="546">
        <v>715174.9</v>
      </c>
      <c r="G100" s="546"/>
      <c r="H100" s="546"/>
      <c r="I100" s="545"/>
      <c r="J100" s="545"/>
      <c r="K100" s="548"/>
      <c r="L100" s="549"/>
      <c r="M100" s="549"/>
      <c r="N100" s="549"/>
      <c r="O100" s="530"/>
      <c r="Q100" s="573">
        <f t="shared" si="4"/>
        <v>1422501.79</v>
      </c>
      <c r="R100" s="543">
        <f t="shared" si="3"/>
        <v>1422501.79</v>
      </c>
    </row>
    <row r="101" spans="1:18" x14ac:dyDescent="0.25">
      <c r="A101" s="527">
        <v>32</v>
      </c>
      <c r="B101" s="526">
        <v>4012</v>
      </c>
      <c r="C101" s="527" t="s">
        <v>271</v>
      </c>
      <c r="D101" s="528">
        <v>4904770.5200000005</v>
      </c>
      <c r="E101" s="550">
        <v>401311.12</v>
      </c>
      <c r="F101" s="546">
        <v>409405.4</v>
      </c>
      <c r="G101" s="546"/>
      <c r="H101" s="546"/>
      <c r="I101" s="545"/>
      <c r="J101" s="545"/>
      <c r="K101" s="548"/>
      <c r="L101" s="549"/>
      <c r="M101" s="549"/>
      <c r="N101" s="549"/>
      <c r="O101" s="530"/>
      <c r="Q101" s="573">
        <f t="shared" si="4"/>
        <v>810716.52</v>
      </c>
      <c r="R101" s="543">
        <f t="shared" si="3"/>
        <v>810716.52</v>
      </c>
    </row>
    <row r="102" spans="1:18" x14ac:dyDescent="0.25">
      <c r="A102" s="527">
        <v>33</v>
      </c>
      <c r="B102" s="526">
        <v>4013</v>
      </c>
      <c r="C102" s="527" t="s">
        <v>272</v>
      </c>
      <c r="D102" s="528">
        <v>8119848.8800000008</v>
      </c>
      <c r="E102" s="550">
        <v>667648.91</v>
      </c>
      <c r="F102" s="546">
        <v>677472.72</v>
      </c>
      <c r="G102" s="546"/>
      <c r="H102" s="546"/>
      <c r="I102" s="545"/>
      <c r="J102" s="545"/>
      <c r="K102" s="548"/>
      <c r="L102" s="549"/>
      <c r="M102" s="549"/>
      <c r="N102" s="549"/>
      <c r="O102" s="530"/>
      <c r="Q102" s="573">
        <f t="shared" si="4"/>
        <v>1345121.63</v>
      </c>
      <c r="R102" s="543">
        <f t="shared" si="3"/>
        <v>1345121.63</v>
      </c>
    </row>
    <row r="103" spans="1:18" x14ac:dyDescent="0.25">
      <c r="A103" s="527">
        <v>34</v>
      </c>
      <c r="B103" s="526">
        <v>4020</v>
      </c>
      <c r="C103" s="527" t="s">
        <v>273</v>
      </c>
      <c r="D103" s="528">
        <v>10867277.120000001</v>
      </c>
      <c r="E103" s="550">
        <v>892802.19</v>
      </c>
      <c r="F103" s="546">
        <v>906770.45</v>
      </c>
      <c r="G103" s="546"/>
      <c r="H103" s="546"/>
      <c r="I103" s="545"/>
      <c r="J103" s="545"/>
      <c r="K103" s="548"/>
      <c r="L103" s="549"/>
      <c r="M103" s="549"/>
      <c r="N103" s="549"/>
      <c r="O103" s="530"/>
      <c r="Q103" s="573">
        <f t="shared" si="4"/>
        <v>1799572.64</v>
      </c>
      <c r="R103" s="543">
        <f t="shared" si="3"/>
        <v>1799572.64</v>
      </c>
    </row>
    <row r="104" spans="1:18" x14ac:dyDescent="0.25">
      <c r="A104" s="527">
        <v>35</v>
      </c>
      <c r="B104" s="526">
        <v>4030</v>
      </c>
      <c r="C104" s="527" t="s">
        <v>274</v>
      </c>
      <c r="D104" s="528">
        <v>2619365.38</v>
      </c>
      <c r="E104" s="550">
        <v>216879.02</v>
      </c>
      <c r="F104" s="546">
        <v>218407.85</v>
      </c>
      <c r="G104" s="546"/>
      <c r="H104" s="546"/>
      <c r="I104" s="545"/>
      <c r="J104" s="545"/>
      <c r="K104" s="548"/>
      <c r="L104" s="549"/>
      <c r="M104" s="549"/>
      <c r="N104" s="549"/>
      <c r="O104" s="530"/>
      <c r="Q104" s="573">
        <f t="shared" si="4"/>
        <v>435286.87</v>
      </c>
      <c r="R104" s="543">
        <f t="shared" si="3"/>
        <v>435286.87</v>
      </c>
    </row>
    <row r="105" spans="1:18" x14ac:dyDescent="0.25">
      <c r="A105" s="527">
        <v>36</v>
      </c>
      <c r="B105" s="526">
        <v>4031</v>
      </c>
      <c r="C105" s="527" t="s">
        <v>275</v>
      </c>
      <c r="D105" s="528">
        <v>3914815.85</v>
      </c>
      <c r="E105" s="550">
        <v>322483.34000000003</v>
      </c>
      <c r="F105" s="546">
        <v>326575.68</v>
      </c>
      <c r="G105" s="546"/>
      <c r="H105" s="546"/>
      <c r="I105" s="545"/>
      <c r="J105" s="545"/>
      <c r="K105" s="548"/>
      <c r="L105" s="549"/>
      <c r="M105" s="549"/>
      <c r="N105" s="549"/>
      <c r="O105" s="530"/>
      <c r="Q105" s="573">
        <f t="shared" si="4"/>
        <v>649059.02</v>
      </c>
      <c r="R105" s="543">
        <f t="shared" si="3"/>
        <v>649059.02</v>
      </c>
    </row>
    <row r="106" spans="1:18" x14ac:dyDescent="0.25">
      <c r="A106" s="527">
        <v>37</v>
      </c>
      <c r="B106" s="526">
        <v>4041</v>
      </c>
      <c r="C106" s="527" t="s">
        <v>276</v>
      </c>
      <c r="D106" s="528">
        <v>775960.87</v>
      </c>
      <c r="E106" s="550">
        <v>63488.77</v>
      </c>
      <c r="F106" s="546">
        <v>64770.19</v>
      </c>
      <c r="G106" s="546"/>
      <c r="H106" s="546"/>
      <c r="I106" s="545"/>
      <c r="J106" s="545"/>
      <c r="K106" s="548"/>
      <c r="L106" s="549"/>
      <c r="M106" s="549"/>
      <c r="N106" s="549"/>
      <c r="O106" s="530"/>
      <c r="Q106" s="573">
        <f t="shared" si="4"/>
        <v>128258.95999999999</v>
      </c>
      <c r="R106" s="543">
        <f t="shared" si="3"/>
        <v>128258.95999999999</v>
      </c>
    </row>
    <row r="107" spans="1:18" x14ac:dyDescent="0.25">
      <c r="A107" s="527">
        <v>38</v>
      </c>
      <c r="B107" s="526">
        <v>4050</v>
      </c>
      <c r="C107" s="527" t="s">
        <v>277</v>
      </c>
      <c r="D107" s="528">
        <v>6227871.4299999988</v>
      </c>
      <c r="E107" s="550">
        <v>512294.34</v>
      </c>
      <c r="F107" s="546">
        <v>519597.92</v>
      </c>
      <c r="G107" s="546"/>
      <c r="H107" s="546"/>
      <c r="I107" s="545"/>
      <c r="J107" s="545"/>
      <c r="K107" s="548"/>
      <c r="L107" s="549"/>
      <c r="M107" s="549"/>
      <c r="N107" s="549"/>
      <c r="O107" s="530"/>
      <c r="Q107" s="573">
        <f t="shared" si="4"/>
        <v>1031892.26</v>
      </c>
      <c r="R107" s="543">
        <f t="shared" si="3"/>
        <v>1031892.26</v>
      </c>
    </row>
    <row r="108" spans="1:18" x14ac:dyDescent="0.25">
      <c r="A108" s="527">
        <v>39</v>
      </c>
      <c r="B108" s="526">
        <v>4051</v>
      </c>
      <c r="C108" s="527" t="s">
        <v>278</v>
      </c>
      <c r="D108" s="528">
        <v>6573895.1500000013</v>
      </c>
      <c r="E108" s="550">
        <v>541173.16</v>
      </c>
      <c r="F108" s="546">
        <v>548429.27</v>
      </c>
      <c r="G108" s="546"/>
      <c r="H108" s="546"/>
      <c r="I108" s="545"/>
      <c r="J108" s="545"/>
      <c r="K108" s="548"/>
      <c r="L108" s="549"/>
      <c r="M108" s="549"/>
      <c r="N108" s="549"/>
      <c r="O108" s="530"/>
      <c r="Q108" s="573">
        <f t="shared" si="4"/>
        <v>1089602.4300000002</v>
      </c>
      <c r="R108" s="543">
        <f t="shared" si="3"/>
        <v>1089602.4300000002</v>
      </c>
    </row>
    <row r="109" spans="1:18" x14ac:dyDescent="0.25">
      <c r="A109" s="527">
        <v>40</v>
      </c>
      <c r="B109" s="526">
        <v>4061</v>
      </c>
      <c r="C109" s="527" t="s">
        <v>279</v>
      </c>
      <c r="D109" s="528">
        <v>8356896.4500000002</v>
      </c>
      <c r="E109" s="550">
        <v>686342</v>
      </c>
      <c r="F109" s="546">
        <v>697323.13</v>
      </c>
      <c r="G109" s="546"/>
      <c r="H109" s="546"/>
      <c r="I109" s="545"/>
      <c r="J109" s="545"/>
      <c r="K109" s="548"/>
      <c r="L109" s="549"/>
      <c r="M109" s="549"/>
      <c r="N109" s="549"/>
      <c r="O109" s="530"/>
      <c r="Q109" s="573">
        <f t="shared" si="4"/>
        <v>1383665.13</v>
      </c>
      <c r="R109" s="543">
        <f t="shared" si="3"/>
        <v>1383665.13</v>
      </c>
    </row>
    <row r="110" spans="1:18" x14ac:dyDescent="0.25">
      <c r="A110" s="527">
        <v>41</v>
      </c>
      <c r="B110" s="526">
        <v>4080</v>
      </c>
      <c r="C110" s="527" t="s">
        <v>280</v>
      </c>
      <c r="D110" s="528">
        <v>166059.87</v>
      </c>
      <c r="E110" s="561">
        <v>166059.87</v>
      </c>
      <c r="F110" s="546">
        <v>0</v>
      </c>
      <c r="G110" s="546"/>
      <c r="H110" s="546"/>
      <c r="I110" s="545"/>
      <c r="J110" s="545"/>
      <c r="K110" s="548"/>
      <c r="L110" s="549"/>
      <c r="M110" s="549"/>
      <c r="N110" s="549"/>
      <c r="O110" s="530"/>
      <c r="Q110" s="573">
        <f>SUM(E110:P110)</f>
        <v>166059.87</v>
      </c>
      <c r="R110" s="543">
        <f t="shared" si="3"/>
        <v>166059.87</v>
      </c>
    </row>
    <row r="111" spans="1:18" x14ac:dyDescent="0.25">
      <c r="A111" s="527">
        <v>42</v>
      </c>
      <c r="B111" s="526">
        <v>4081</v>
      </c>
      <c r="C111" s="527" t="s">
        <v>281</v>
      </c>
      <c r="D111" s="528">
        <v>1014899.57</v>
      </c>
      <c r="E111" s="550">
        <v>83555.86</v>
      </c>
      <c r="F111" s="546">
        <v>84667.61</v>
      </c>
      <c r="G111" s="546"/>
      <c r="H111" s="546"/>
      <c r="I111" s="545"/>
      <c r="J111" s="545"/>
      <c r="K111" s="548"/>
      <c r="L111" s="549"/>
      <c r="M111" s="549"/>
      <c r="N111" s="549"/>
      <c r="O111" s="530"/>
      <c r="Q111" s="573">
        <f t="shared" si="4"/>
        <v>168223.47</v>
      </c>
      <c r="R111" s="543">
        <f>SUM(E111:F111)</f>
        <v>168223.47</v>
      </c>
    </row>
    <row r="112" spans="1:18" x14ac:dyDescent="0.25">
      <c r="A112" s="527">
        <v>43</v>
      </c>
      <c r="B112" s="526">
        <v>4090</v>
      </c>
      <c r="C112" s="527" t="s">
        <v>282</v>
      </c>
      <c r="D112" s="528">
        <v>2220850.8499999996</v>
      </c>
      <c r="E112" s="550">
        <v>182095.15</v>
      </c>
      <c r="F112" s="546">
        <v>185341.43</v>
      </c>
      <c r="G112" s="546"/>
      <c r="H112" s="546"/>
      <c r="I112" s="545"/>
      <c r="J112" s="545"/>
      <c r="K112" s="548"/>
      <c r="L112" s="549"/>
      <c r="M112" s="549"/>
      <c r="N112" s="549"/>
      <c r="O112" s="530"/>
      <c r="Q112" s="573">
        <f t="shared" si="4"/>
        <v>367436.57999999996</v>
      </c>
      <c r="R112" s="543">
        <f t="shared" si="3"/>
        <v>367436.57999999996</v>
      </c>
    </row>
    <row r="113" spans="1:18" x14ac:dyDescent="0.25">
      <c r="A113" s="527">
        <v>44</v>
      </c>
      <c r="B113" s="526">
        <v>4091</v>
      </c>
      <c r="C113" s="527" t="s">
        <v>283</v>
      </c>
      <c r="D113" s="528">
        <v>3463844.94</v>
      </c>
      <c r="E113" s="550">
        <v>285991.09999999998</v>
      </c>
      <c r="F113" s="546">
        <v>288895.8</v>
      </c>
      <c r="G113" s="546"/>
      <c r="H113" s="546"/>
      <c r="I113" s="545"/>
      <c r="J113" s="545"/>
      <c r="K113" s="548"/>
      <c r="L113" s="549"/>
      <c r="M113" s="549"/>
      <c r="N113" s="549"/>
      <c r="O113" s="530"/>
      <c r="Q113" s="573">
        <f t="shared" si="4"/>
        <v>574886.89999999991</v>
      </c>
      <c r="R113" s="543">
        <f t="shared" si="3"/>
        <v>574886.89999999991</v>
      </c>
    </row>
    <row r="114" spans="1:18" x14ac:dyDescent="0.25">
      <c r="A114" s="527">
        <v>45</v>
      </c>
      <c r="B114" s="526">
        <v>4100</v>
      </c>
      <c r="C114" s="527" t="s">
        <v>284</v>
      </c>
      <c r="D114" s="528">
        <v>3845172.95</v>
      </c>
      <c r="E114" s="550">
        <v>312807.54399999999</v>
      </c>
      <c r="F114" s="546">
        <v>321124.13</v>
      </c>
      <c r="G114" s="546"/>
      <c r="H114" s="546"/>
      <c r="I114" s="545"/>
      <c r="J114" s="545"/>
      <c r="K114" s="548"/>
      <c r="L114" s="549"/>
      <c r="M114" s="549"/>
      <c r="N114" s="549"/>
      <c r="O114" s="530"/>
      <c r="Q114" s="573">
        <f t="shared" si="4"/>
        <v>633931.674</v>
      </c>
      <c r="R114" s="543">
        <f t="shared" si="3"/>
        <v>633931.674</v>
      </c>
    </row>
    <row r="115" spans="1:18" x14ac:dyDescent="0.25">
      <c r="A115" s="527">
        <v>46</v>
      </c>
      <c r="B115" s="526">
        <v>4102</v>
      </c>
      <c r="C115" s="527" t="s">
        <v>285</v>
      </c>
      <c r="D115" s="560">
        <v>1168940.7700000003</v>
      </c>
      <c r="E115" s="561">
        <v>95722.880000000005</v>
      </c>
      <c r="F115" s="546">
        <v>97565.26</v>
      </c>
      <c r="G115" s="546">
        <v>0</v>
      </c>
      <c r="H115" s="546">
        <v>0</v>
      </c>
      <c r="I115" s="545">
        <v>0</v>
      </c>
      <c r="J115" s="545">
        <v>0</v>
      </c>
      <c r="K115" s="548">
        <v>0</v>
      </c>
      <c r="L115" s="549">
        <v>0</v>
      </c>
      <c r="M115" s="549"/>
      <c r="N115" s="549"/>
      <c r="O115" s="530">
        <v>0</v>
      </c>
      <c r="P115" s="530">
        <v>0</v>
      </c>
      <c r="Q115" s="573">
        <f t="shared" si="4"/>
        <v>193288.14</v>
      </c>
      <c r="R115" s="543">
        <f t="shared" si="3"/>
        <v>193288.14</v>
      </c>
    </row>
    <row r="116" spans="1:18" x14ac:dyDescent="0.25">
      <c r="A116" s="527">
        <v>47</v>
      </c>
      <c r="B116" s="526">
        <v>4103</v>
      </c>
      <c r="C116" s="527" t="s">
        <v>286</v>
      </c>
      <c r="D116" s="528">
        <v>8031180.3499999996</v>
      </c>
      <c r="E116" s="550">
        <v>660664.68999999994</v>
      </c>
      <c r="F116" s="546">
        <v>670046.88</v>
      </c>
      <c r="G116" s="546"/>
      <c r="H116" s="546"/>
      <c r="I116" s="545"/>
      <c r="J116" s="545"/>
      <c r="K116" s="548"/>
      <c r="L116" s="549"/>
      <c r="M116" s="549"/>
      <c r="N116" s="549"/>
      <c r="O116" s="530"/>
      <c r="Q116" s="543">
        <f t="shared" si="4"/>
        <v>1330711.5699999998</v>
      </c>
      <c r="R116" s="543">
        <f t="shared" si="3"/>
        <v>1330711.5699999998</v>
      </c>
    </row>
    <row r="117" spans="1:18" x14ac:dyDescent="0.25">
      <c r="A117" s="527">
        <v>48</v>
      </c>
      <c r="B117" s="526">
        <v>4111</v>
      </c>
      <c r="C117" s="527" t="s">
        <v>287</v>
      </c>
      <c r="D117" s="528">
        <v>2429371.5800000005</v>
      </c>
      <c r="E117" s="550">
        <v>200228.99</v>
      </c>
      <c r="F117" s="546">
        <v>202649.33</v>
      </c>
      <c r="G117" s="546"/>
      <c r="H117" s="546"/>
      <c r="I117" s="545"/>
      <c r="J117" s="545"/>
      <c r="K117" s="548"/>
      <c r="L117" s="549"/>
      <c r="M117" s="549"/>
      <c r="N117" s="549"/>
      <c r="O117" s="530"/>
      <c r="Q117" s="543">
        <f t="shared" si="4"/>
        <v>402878.31999999995</v>
      </c>
      <c r="R117" s="543">
        <f t="shared" si="3"/>
        <v>402878.31999999995</v>
      </c>
    </row>
    <row r="118" spans="1:18" x14ac:dyDescent="0.25">
      <c r="A118" s="527">
        <v>49</v>
      </c>
      <c r="B118" s="526">
        <v>4131</v>
      </c>
      <c r="C118" s="527" t="s">
        <v>288</v>
      </c>
      <c r="D118" s="528">
        <v>803834.34000000008</v>
      </c>
      <c r="E118" s="550">
        <v>66112.399999999994</v>
      </c>
      <c r="F118" s="546">
        <v>67065.63</v>
      </c>
      <c r="G118" s="546"/>
      <c r="H118" s="546"/>
      <c r="I118" s="545"/>
      <c r="J118" s="545"/>
      <c r="K118" s="548"/>
      <c r="L118" s="549"/>
      <c r="M118" s="549"/>
      <c r="N118" s="549"/>
      <c r="O118" s="530"/>
      <c r="Q118" s="543">
        <f t="shared" si="4"/>
        <v>133178.03</v>
      </c>
      <c r="R118" s="543">
        <f t="shared" si="3"/>
        <v>133178.03</v>
      </c>
    </row>
    <row r="119" spans="1:18" x14ac:dyDescent="0.25">
      <c r="E119" s="544"/>
    </row>
    <row r="120" spans="1:18" x14ac:dyDescent="0.25">
      <c r="E120" s="544"/>
    </row>
    <row r="121" spans="1:18" x14ac:dyDescent="0.25">
      <c r="E121" s="544"/>
    </row>
    <row r="122" spans="1:18" x14ac:dyDescent="0.25">
      <c r="D122" s="528">
        <f>SUM(D70:D119)</f>
        <v>203812569.47000003</v>
      </c>
      <c r="E122" s="528">
        <f>SUM(E70:E119)</f>
        <v>16906713.023999993</v>
      </c>
      <c r="F122" s="528">
        <f>SUM(F72:F119)</f>
        <v>16944328.249999996</v>
      </c>
      <c r="G122" s="528">
        <f t="shared" ref="G122:K122" si="5">SUM(G72:G119)</f>
        <v>0</v>
      </c>
      <c r="H122" s="528">
        <f>SUM(H70:H119)</f>
        <v>0</v>
      </c>
      <c r="I122" s="528">
        <f>SUM(I70:I119)</f>
        <v>0</v>
      </c>
      <c r="J122" s="528">
        <f t="shared" si="5"/>
        <v>0</v>
      </c>
      <c r="K122" s="566">
        <f t="shared" si="5"/>
        <v>0</v>
      </c>
      <c r="L122" s="528">
        <f>SUM(L70:L119)</f>
        <v>0</v>
      </c>
      <c r="M122" s="528">
        <f>SUM(M70:M119)</f>
        <v>0</v>
      </c>
      <c r="N122" s="528">
        <f>SUM(N70:N119)</f>
        <v>0</v>
      </c>
      <c r="O122" s="528">
        <f t="shared" ref="O122:P122" si="6">SUM(O70:O119)</f>
        <v>0</v>
      </c>
      <c r="P122" s="567">
        <f t="shared" si="6"/>
        <v>0</v>
      </c>
      <c r="Q122" s="528">
        <f>SUM(Q70:Q119)</f>
        <v>33898181.614</v>
      </c>
      <c r="R122" s="528">
        <f>SUM(R70:R119)</f>
        <v>33898181.614</v>
      </c>
    </row>
    <row r="124" spans="1:18" x14ac:dyDescent="0.25">
      <c r="E124" s="560">
        <f>E55-E122</f>
        <v>0</v>
      </c>
    </row>
    <row r="125" spans="1:18" x14ac:dyDescent="0.25">
      <c r="E125" s="544"/>
    </row>
  </sheetData>
  <pageMargins left="0.7" right="0.7" top="0.75" bottom="0.75" header="0.3" footer="0.3"/>
  <pageSetup scale="3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96A1-A4AE-4243-8173-962553824AFB}">
  <dimension ref="A1:Z207"/>
  <sheetViews>
    <sheetView workbookViewId="0">
      <selection activeCell="J116" sqref="J116"/>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6.42578125" style="2" customWidth="1"/>
    <col min="8" max="8" width="19.2851562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104" t="s">
        <v>155</v>
      </c>
      <c r="B2" s="102"/>
      <c r="C2" s="102"/>
      <c r="D2" s="102"/>
      <c r="E2" s="100"/>
      <c r="F2" s="100"/>
      <c r="G2" s="100"/>
      <c r="H2" s="100"/>
      <c r="I2" s="100"/>
      <c r="J2" s="100"/>
      <c r="K2" s="6"/>
      <c r="L2" s="6"/>
      <c r="M2" s="6"/>
      <c r="N2" s="6"/>
      <c r="O2" s="6"/>
      <c r="P2" s="6"/>
      <c r="Q2" s="6"/>
      <c r="R2" s="920" t="str">
        <f>Revenue_Estimate_Worksheet_for___________Charter_School</f>
        <v>Revenue Estimate Worksheet: Palm Beach Preparatory Middle School 0040</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85"/>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9"/>
      <c r="D6" s="9"/>
      <c r="E6" s="827">
        <v>5372.6</v>
      </c>
      <c r="F6" s="827"/>
      <c r="G6" s="828" t="s">
        <v>5</v>
      </c>
      <c r="H6" s="828"/>
      <c r="I6" s="283">
        <f>INDEX('[1]Detail 2025-26 FEFP Second'!$C$1:$C$65536,MATCH('0040'!$A$1,'[1]Detail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9"/>
      <c r="B7" s="9"/>
      <c r="C7" s="9"/>
      <c r="D7" s="9"/>
      <c r="E7" s="10"/>
      <c r="F7" s="10"/>
      <c r="G7" s="11" t="s">
        <v>6</v>
      </c>
      <c r="H7" s="11"/>
      <c r="I7" s="283">
        <f>INDEX('[1]Detail 2025-26 FEFP Second'!$D$1:$D$65536,MATCH('0040'!$A$1,'[1]Detail 2025-26 FEFP Second'!$A$1:$A$65536,0))</f>
        <v>1</v>
      </c>
      <c r="J7" s="12"/>
      <c r="M7" s="2"/>
      <c r="R7" s="144"/>
      <c r="S7" s="144"/>
      <c r="T7" s="145"/>
      <c r="U7" s="145"/>
      <c r="V7" s="146" t="s">
        <v>6</v>
      </c>
      <c r="W7" s="146"/>
      <c r="X7" s="147">
        <v>1</v>
      </c>
      <c r="Y7" s="147"/>
    </row>
    <row r="8" spans="1:25" ht="18" customHeight="1" x14ac:dyDescent="0.25">
      <c r="A8" s="9"/>
      <c r="B8" s="9"/>
      <c r="C8" s="9"/>
      <c r="D8" s="9"/>
      <c r="E8" s="13"/>
      <c r="F8" s="13"/>
      <c r="G8" s="14"/>
      <c r="H8" s="14"/>
      <c r="I8" s="15"/>
      <c r="J8" s="703" t="s">
        <v>7</v>
      </c>
      <c r="M8" s="2"/>
      <c r="R8" s="144"/>
      <c r="S8" s="144"/>
      <c r="T8" s="148"/>
      <c r="U8" s="148"/>
      <c r="V8" s="149"/>
      <c r="W8" s="149"/>
      <c r="X8" s="150"/>
      <c r="Y8" s="151" t="s">
        <v>7</v>
      </c>
    </row>
    <row r="9" spans="1:25" ht="15.75" customHeight="1" x14ac:dyDescent="0.25">
      <c r="A9" s="9"/>
      <c r="B9" s="9"/>
      <c r="C9" s="111" t="s">
        <v>156</v>
      </c>
      <c r="D9" s="112" t="s">
        <v>157</v>
      </c>
      <c r="E9" s="13"/>
      <c r="F9" s="13"/>
      <c r="G9" s="829" t="s">
        <v>8</v>
      </c>
      <c r="H9" s="829"/>
      <c r="I9" s="15" t="s">
        <v>9</v>
      </c>
      <c r="J9" s="16" t="s">
        <v>10</v>
      </c>
      <c r="M9" s="2"/>
      <c r="R9" s="144"/>
      <c r="S9" s="144"/>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115">
        <v>0</v>
      </c>
      <c r="D12" s="115">
        <v>0</v>
      </c>
      <c r="E12" s="824">
        <f t="shared" ref="E12:E27" si="0">IF($D$28=0,C12*2,C12+D12)</f>
        <v>0</v>
      </c>
      <c r="F12" s="824"/>
      <c r="G12" s="825">
        <v>1.1080000000000001</v>
      </c>
      <c r="H12" s="825"/>
      <c r="I12" s="22">
        <f>ROUND(E12*G12,4)</f>
        <v>0</v>
      </c>
      <c r="J12" s="127">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704">
        <v>0</v>
      </c>
      <c r="D13" s="116">
        <v>0</v>
      </c>
      <c r="E13" s="832">
        <f t="shared" si="0"/>
        <v>0</v>
      </c>
      <c r="F13" s="832"/>
      <c r="G13" s="833">
        <v>1.1080000000000001</v>
      </c>
      <c r="H13" s="833"/>
      <c r="I13" s="22">
        <f t="shared" ref="I13:I27" si="2">ROUND(E13*G13,4)</f>
        <v>0</v>
      </c>
      <c r="J13" s="127">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704">
        <v>10.5</v>
      </c>
      <c r="D14" s="116">
        <v>0</v>
      </c>
      <c r="E14" s="832">
        <f t="shared" si="0"/>
        <v>21</v>
      </c>
      <c r="F14" s="832"/>
      <c r="G14" s="833">
        <v>1</v>
      </c>
      <c r="H14" s="833"/>
      <c r="I14" s="22">
        <f t="shared" si="2"/>
        <v>21</v>
      </c>
      <c r="J14" s="127">
        <f>ROUND(ROUND(ROUND(I14*$E$6,4)*($I$6),2)*(MAX($I$7,1)),2)</f>
        <v>116829.87</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704">
        <v>5</v>
      </c>
      <c r="D15" s="116">
        <v>0</v>
      </c>
      <c r="E15" s="832">
        <f t="shared" si="0"/>
        <v>10</v>
      </c>
      <c r="F15" s="832"/>
      <c r="G15" s="833">
        <v>1</v>
      </c>
      <c r="H15" s="833"/>
      <c r="I15" s="22">
        <f t="shared" si="2"/>
        <v>10</v>
      </c>
      <c r="J15" s="127">
        <f t="shared" si="1"/>
        <v>55633.27</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704">
        <v>0</v>
      </c>
      <c r="D16" s="116">
        <v>0</v>
      </c>
      <c r="E16" s="832">
        <f t="shared" si="0"/>
        <v>0</v>
      </c>
      <c r="F16" s="832"/>
      <c r="G16" s="833">
        <v>0.97199999999999998</v>
      </c>
      <c r="H16" s="833"/>
      <c r="I16" s="22">
        <f t="shared" si="2"/>
        <v>0</v>
      </c>
      <c r="J16" s="127">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704">
        <v>0</v>
      </c>
      <c r="D17" s="116">
        <v>0</v>
      </c>
      <c r="E17" s="832">
        <f t="shared" si="0"/>
        <v>0</v>
      </c>
      <c r="F17" s="832"/>
      <c r="G17" s="833">
        <v>0.97199999999999998</v>
      </c>
      <c r="H17" s="833"/>
      <c r="I17" s="22">
        <f t="shared" si="2"/>
        <v>0</v>
      </c>
      <c r="J17" s="127">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704">
        <v>0</v>
      </c>
      <c r="D18" s="116">
        <v>0</v>
      </c>
      <c r="E18" s="832">
        <f t="shared" si="0"/>
        <v>0</v>
      </c>
      <c r="F18" s="832"/>
      <c r="G18" s="833">
        <v>3.609</v>
      </c>
      <c r="H18" s="833"/>
      <c r="I18" s="22">
        <f t="shared" si="2"/>
        <v>0</v>
      </c>
      <c r="J18" s="127">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704">
        <v>0</v>
      </c>
      <c r="D19" s="116">
        <v>0</v>
      </c>
      <c r="E19" s="832">
        <f t="shared" si="0"/>
        <v>0</v>
      </c>
      <c r="F19" s="832"/>
      <c r="G19" s="833">
        <v>3.609</v>
      </c>
      <c r="H19" s="833"/>
      <c r="I19" s="22">
        <f t="shared" si="2"/>
        <v>0</v>
      </c>
      <c r="J19" s="127">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704">
        <v>0</v>
      </c>
      <c r="D20" s="116">
        <v>0</v>
      </c>
      <c r="E20" s="832">
        <f t="shared" si="0"/>
        <v>0</v>
      </c>
      <c r="F20" s="832"/>
      <c r="G20" s="833">
        <v>3.609</v>
      </c>
      <c r="H20" s="833"/>
      <c r="I20" s="22">
        <f t="shared" si="2"/>
        <v>0</v>
      </c>
      <c r="J20" s="127">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704">
        <v>0</v>
      </c>
      <c r="D21" s="116">
        <v>0</v>
      </c>
      <c r="E21" s="832">
        <f t="shared" si="0"/>
        <v>0</v>
      </c>
      <c r="F21" s="832"/>
      <c r="G21" s="833">
        <v>6.0640000000000001</v>
      </c>
      <c r="H21" s="833"/>
      <c r="I21" s="22">
        <f t="shared" si="2"/>
        <v>0</v>
      </c>
      <c r="J21" s="127">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704">
        <v>0</v>
      </c>
      <c r="D22" s="116">
        <v>0</v>
      </c>
      <c r="E22" s="832">
        <f t="shared" si="0"/>
        <v>0</v>
      </c>
      <c r="F22" s="832"/>
      <c r="G22" s="833">
        <v>6.0640000000000001</v>
      </c>
      <c r="H22" s="833"/>
      <c r="I22" s="22">
        <f t="shared" si="2"/>
        <v>0</v>
      </c>
      <c r="J22" s="127">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704">
        <v>0</v>
      </c>
      <c r="D23" s="116">
        <v>0</v>
      </c>
      <c r="E23" s="832">
        <f t="shared" si="0"/>
        <v>0</v>
      </c>
      <c r="F23" s="832"/>
      <c r="G23" s="833">
        <v>6.0640000000000001</v>
      </c>
      <c r="H23" s="833"/>
      <c r="I23" s="22">
        <f t="shared" si="2"/>
        <v>0</v>
      </c>
      <c r="J23" s="127">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704">
        <v>0</v>
      </c>
      <c r="D24" s="116">
        <v>0</v>
      </c>
      <c r="E24" s="832">
        <f t="shared" si="0"/>
        <v>0</v>
      </c>
      <c r="F24" s="832"/>
      <c r="G24" s="833">
        <v>1.165</v>
      </c>
      <c r="H24" s="833"/>
      <c r="I24" s="22">
        <f t="shared" si="2"/>
        <v>0</v>
      </c>
      <c r="J24" s="127">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704">
        <v>2.5</v>
      </c>
      <c r="D25" s="116">
        <v>0</v>
      </c>
      <c r="E25" s="832">
        <f t="shared" si="0"/>
        <v>5</v>
      </c>
      <c r="F25" s="832"/>
      <c r="G25" s="833">
        <v>1.165</v>
      </c>
      <c r="H25" s="833"/>
      <c r="I25" s="22">
        <f t="shared" si="2"/>
        <v>5.8250000000000002</v>
      </c>
      <c r="J25" s="127">
        <f t="shared" si="1"/>
        <v>32406.38</v>
      </c>
      <c r="M25" s="2"/>
      <c r="R25" s="756" t="s">
        <v>33</v>
      </c>
      <c r="S25" s="756"/>
      <c r="T25" s="897">
        <f t="shared" si="3"/>
        <v>0</v>
      </c>
      <c r="U25" s="897"/>
      <c r="V25" s="896">
        <v>1</v>
      </c>
      <c r="W25" s="896"/>
      <c r="X25" s="156">
        <f t="shared" si="4"/>
        <v>0</v>
      </c>
      <c r="Y25" s="266">
        <f t="shared" si="6"/>
        <v>0</v>
      </c>
    </row>
    <row r="26" spans="1:25" x14ac:dyDescent="0.25">
      <c r="A26" s="757" t="s">
        <v>34</v>
      </c>
      <c r="B26" s="757"/>
      <c r="C26" s="116">
        <v>0</v>
      </c>
      <c r="D26" s="116">
        <v>0</v>
      </c>
      <c r="E26" s="832">
        <f t="shared" si="0"/>
        <v>0</v>
      </c>
      <c r="F26" s="832"/>
      <c r="G26" s="833">
        <v>1.165</v>
      </c>
      <c r="H26" s="833"/>
      <c r="I26" s="22">
        <f t="shared" si="2"/>
        <v>0</v>
      </c>
      <c r="J26" s="127">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118">
        <v>0</v>
      </c>
      <c r="D27" s="118">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705">
        <f>SUM(C12:C27)</f>
        <v>18</v>
      </c>
      <c r="D28" s="126">
        <f>SUM(D12:D27)</f>
        <v>0</v>
      </c>
      <c r="E28" s="837">
        <f>SUM(E12:E27)</f>
        <v>36</v>
      </c>
      <c r="F28" s="837"/>
      <c r="G28" s="838"/>
      <c r="H28" s="838"/>
      <c r="I28" s="23">
        <f>SUM(I12:I27)</f>
        <v>36.825000000000003</v>
      </c>
      <c r="J28" s="127">
        <f>SUM(J12:J27)</f>
        <v>204869.52</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101"/>
      <c r="D30" s="101"/>
      <c r="E30" s="772" t="s">
        <v>39</v>
      </c>
      <c r="F30" s="773"/>
      <c r="G30" s="773"/>
      <c r="H30" s="773"/>
      <c r="I30" s="773"/>
      <c r="J30" s="18" t="s">
        <v>40</v>
      </c>
      <c r="L30" s="25"/>
      <c r="M30" s="25"/>
      <c r="R30" s="160" t="s">
        <v>38</v>
      </c>
      <c r="S30" s="160"/>
      <c r="T30" s="769" t="s">
        <v>162</v>
      </c>
      <c r="U30" s="770"/>
      <c r="V30" s="770"/>
      <c r="W30" s="770"/>
      <c r="X30" s="770"/>
      <c r="Y30" s="153" t="s">
        <v>40</v>
      </c>
    </row>
    <row r="31" spans="1:25" ht="20.25" hidden="1" customHeight="1" x14ac:dyDescent="0.25">
      <c r="A31" s="762" t="s">
        <v>41</v>
      </c>
      <c r="B31" s="762"/>
      <c r="C31" s="69"/>
      <c r="D31" s="69"/>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36.825000000000003</v>
      </c>
      <c r="H33" s="838" t="s">
        <v>45</v>
      </c>
      <c r="I33" s="838"/>
      <c r="J33" s="32">
        <f>SUM(J32,J28)</f>
        <v>204869.52</v>
      </c>
      <c r="M33" s="2"/>
      <c r="R33" s="854" t="s">
        <v>44</v>
      </c>
      <c r="S33" s="854"/>
      <c r="T33" s="854"/>
      <c r="U33" s="854"/>
      <c r="V33" s="164">
        <f>V32+X28</f>
        <v>0</v>
      </c>
      <c r="W33" s="901" t="s">
        <v>45</v>
      </c>
      <c r="X33" s="901"/>
      <c r="Y33" s="165">
        <f>SUM(Y32,Y28)</f>
        <v>0</v>
      </c>
    </row>
    <row r="34" spans="1:25" ht="20.25" customHeight="1" x14ac:dyDescent="0.25">
      <c r="A34" s="33"/>
      <c r="B34" s="33"/>
      <c r="C34" s="33"/>
      <c r="D34" s="33"/>
      <c r="E34" s="33"/>
      <c r="F34" s="33"/>
      <c r="G34" s="31"/>
      <c r="H34" s="34"/>
      <c r="I34" s="34"/>
      <c r="J34" s="35"/>
      <c r="M34" s="2"/>
      <c r="R34" s="166"/>
      <c r="S34" s="166"/>
      <c r="T34" s="166"/>
      <c r="U34" s="166"/>
      <c r="V34" s="164"/>
      <c r="W34" s="167"/>
      <c r="X34" s="167"/>
      <c r="Y34" s="168"/>
    </row>
    <row r="35" spans="1:25" ht="66.75" customHeight="1" x14ac:dyDescent="0.25">
      <c r="A35" s="840" t="s">
        <v>46</v>
      </c>
      <c r="B35" s="840"/>
      <c r="C35" s="840"/>
      <c r="D35" s="840"/>
      <c r="E35" s="840"/>
      <c r="F35" s="840"/>
      <c r="G35" s="36"/>
      <c r="J35" s="267"/>
      <c r="M35" s="2"/>
      <c r="R35" s="886" t="s">
        <v>46</v>
      </c>
      <c r="S35" s="758"/>
      <c r="T35" s="758"/>
      <c r="U35" s="758"/>
      <c r="V35" s="169"/>
      <c r="W35" s="170"/>
      <c r="X35" s="170"/>
      <c r="Y35" s="268"/>
    </row>
    <row r="36" spans="1:25" ht="20.25" customHeight="1" x14ac:dyDescent="0.25">
      <c r="A36" s="757" t="s">
        <v>47</v>
      </c>
      <c r="B36" s="757"/>
      <c r="C36" s="757"/>
      <c r="D36" s="757"/>
      <c r="E36" s="757"/>
      <c r="F36" s="36" t="s">
        <v>48</v>
      </c>
      <c r="G36" s="132">
        <v>204869.52</v>
      </c>
      <c r="H36" s="37" t="s">
        <v>49</v>
      </c>
      <c r="I36" s="38">
        <v>6.6699999999999995E-2</v>
      </c>
      <c r="J36" s="131">
        <f>ROUND(G36*I36,2)</f>
        <v>13664.8</v>
      </c>
      <c r="K36" s="39"/>
      <c r="L36" s="33"/>
      <c r="M36" s="33"/>
      <c r="N36" s="33"/>
      <c r="O36" s="31"/>
      <c r="P36" s="34"/>
      <c r="Q36" s="34"/>
      <c r="R36" s="756" t="s">
        <v>47</v>
      </c>
      <c r="S36" s="756"/>
      <c r="T36" s="756"/>
      <c r="U36" s="169"/>
      <c r="V36" s="172">
        <f>Y28</f>
        <v>0</v>
      </c>
      <c r="W36" s="173" t="s">
        <v>49</v>
      </c>
      <c r="X36" s="174">
        <v>6.6699999999999995E-2</v>
      </c>
      <c r="Y36" s="266">
        <f>ROUND(V36*X36,2)</f>
        <v>0</v>
      </c>
    </row>
    <row r="37" spans="1:25" ht="20.25" customHeight="1" x14ac:dyDescent="0.25">
      <c r="A37" s="757" t="s">
        <v>50</v>
      </c>
      <c r="B37" s="757"/>
      <c r="C37" s="757"/>
      <c r="D37" s="757"/>
      <c r="E37" s="757"/>
      <c r="F37" s="36" t="s">
        <v>48</v>
      </c>
      <c r="G37" s="132">
        <v>204869.52</v>
      </c>
      <c r="H37" s="37" t="s">
        <v>49</v>
      </c>
      <c r="I37" s="38">
        <v>5.4000000000000003E-3</v>
      </c>
      <c r="J37" s="131">
        <f>ROUND(G37*I37,2)</f>
        <v>1106.3</v>
      </c>
      <c r="K37" s="39"/>
      <c r="L37" s="33"/>
      <c r="M37" s="33"/>
      <c r="N37" s="33"/>
      <c r="O37" s="31"/>
      <c r="P37" s="34"/>
      <c r="Q37" s="34"/>
      <c r="R37" s="756" t="s">
        <v>50</v>
      </c>
      <c r="S37" s="756"/>
      <c r="T37" s="756"/>
      <c r="U37" s="169"/>
      <c r="V37" s="172">
        <f>Y28</f>
        <v>0</v>
      </c>
      <c r="W37" s="173" t="s">
        <v>49</v>
      </c>
      <c r="X37" s="174">
        <v>5.4000000000000003E-3</v>
      </c>
      <c r="Y37" s="266">
        <f>ROUND(V37*X37,2)</f>
        <v>0</v>
      </c>
    </row>
    <row r="38" spans="1:25" ht="20.25" customHeight="1" x14ac:dyDescent="0.25">
      <c r="A38" s="841" t="s">
        <v>51</v>
      </c>
      <c r="B38" s="841"/>
      <c r="C38" s="841"/>
      <c r="D38" s="841"/>
      <c r="E38" s="841"/>
      <c r="F38" s="36" t="s">
        <v>52</v>
      </c>
      <c r="G38" s="40"/>
      <c r="H38" s="37"/>
      <c r="I38" s="41"/>
      <c r="J38" s="131">
        <f>SUM(J36:J37)</f>
        <v>14771.099999999999</v>
      </c>
      <c r="K38" s="39"/>
      <c r="L38" s="33"/>
      <c r="M38" s="33"/>
      <c r="N38" s="33"/>
      <c r="O38" s="31"/>
      <c r="P38" s="34"/>
      <c r="Q38" s="34"/>
      <c r="R38" s="758" t="s">
        <v>51</v>
      </c>
      <c r="S38" s="758"/>
      <c r="T38" s="758"/>
      <c r="U38" s="169" t="s">
        <v>52</v>
      </c>
      <c r="V38" s="175"/>
      <c r="W38" s="173"/>
      <c r="X38" s="176"/>
      <c r="Y38" s="157">
        <f>Y36+Y37</f>
        <v>0</v>
      </c>
    </row>
    <row r="39" spans="1:25" ht="20.25" customHeight="1" x14ac:dyDescent="0.25">
      <c r="B39" s="42"/>
      <c r="C39" s="42"/>
      <c r="D39" s="42"/>
      <c r="E39" s="42"/>
      <c r="F39" s="36"/>
      <c r="G39" s="40"/>
      <c r="H39" s="37"/>
      <c r="I39" s="41"/>
      <c r="J39" s="43"/>
      <c r="K39" s="39"/>
      <c r="L39" s="33"/>
      <c r="M39" s="33"/>
      <c r="N39" s="33"/>
      <c r="O39" s="31"/>
      <c r="P39" s="34"/>
      <c r="Q39" s="34"/>
      <c r="R39" s="177"/>
      <c r="S39" s="177"/>
      <c r="T39" s="177"/>
      <c r="U39" s="169"/>
      <c r="V39" s="175"/>
      <c r="W39" s="173"/>
      <c r="X39" s="176"/>
      <c r="Y39" s="178"/>
    </row>
    <row r="40" spans="1:25" ht="45.75" customHeight="1" x14ac:dyDescent="0.25">
      <c r="A40" s="843" t="s">
        <v>53</v>
      </c>
      <c r="B40" s="843"/>
      <c r="C40" s="117" t="s">
        <v>159</v>
      </c>
      <c r="D40" s="117" t="s">
        <v>160</v>
      </c>
      <c r="E40" s="844" t="s">
        <v>158</v>
      </c>
      <c r="F40" s="844"/>
      <c r="G40" s="44" t="s">
        <v>55</v>
      </c>
      <c r="H40" s="45" t="s">
        <v>56</v>
      </c>
      <c r="I40" s="707" t="s">
        <v>57</v>
      </c>
      <c r="J40" s="44"/>
      <c r="K40" s="39"/>
      <c r="L40" s="33"/>
      <c r="M40" s="33"/>
      <c r="N40" s="33"/>
      <c r="O40" s="31"/>
      <c r="P40" s="34"/>
      <c r="Q40" s="34"/>
      <c r="R40" s="904" t="s">
        <v>53</v>
      </c>
      <c r="S40" s="904"/>
      <c r="T40" s="905" t="s">
        <v>54</v>
      </c>
      <c r="U40" s="905"/>
      <c r="V40" s="179" t="s">
        <v>55</v>
      </c>
      <c r="W40" s="180" t="s">
        <v>56</v>
      </c>
      <c r="X40" s="181" t="s">
        <v>57</v>
      </c>
      <c r="Y40" s="179"/>
    </row>
    <row r="41" spans="1:25" ht="17.25" customHeight="1" x14ac:dyDescent="0.25">
      <c r="A41" s="845" t="s">
        <v>58</v>
      </c>
      <c r="B41" s="845"/>
      <c r="C41" s="119">
        <v>0</v>
      </c>
      <c r="D41" s="119">
        <v>0</v>
      </c>
      <c r="E41" s="847">
        <f t="shared" ref="E41:E49" si="7">IF($D$50=0,C41*2,C41+D41)</f>
        <v>0</v>
      </c>
      <c r="F41" s="847"/>
      <c r="G41" s="37" t="s">
        <v>59</v>
      </c>
      <c r="H41" s="37">
        <v>251</v>
      </c>
      <c r="I41" s="136">
        <f>INDEX('[1]111-112-113 ADDITIONAL FUND'!D$1:D$65536,MATCH($A$1,'[1]111-112-113 ADDITIONAL FUND'!A$1:A$65536))</f>
        <v>1047</v>
      </c>
      <c r="J41" s="46">
        <f t="shared" ref="J41:J49" si="8">ROUND(E41*I41,2)</f>
        <v>0</v>
      </c>
      <c r="L41" s="3"/>
      <c r="M41" s="2"/>
      <c r="Q41" s="4"/>
      <c r="R41" s="906" t="s">
        <v>163</v>
      </c>
      <c r="S41" s="906"/>
      <c r="T41" s="914"/>
      <c r="U41" s="914"/>
      <c r="V41" s="173" t="s">
        <v>59</v>
      </c>
      <c r="W41" s="173">
        <v>251</v>
      </c>
      <c r="X41" s="134">
        <f t="shared" ref="X41:X49" si="9">I41</f>
        <v>1047</v>
      </c>
      <c r="Y41" s="269">
        <f>ROUND(T41*X41,2)</f>
        <v>0</v>
      </c>
    </row>
    <row r="42" spans="1:25" x14ac:dyDescent="0.25">
      <c r="A42" s="846"/>
      <c r="B42" s="846"/>
      <c r="C42" s="120">
        <v>0</v>
      </c>
      <c r="D42" s="120">
        <v>0</v>
      </c>
      <c r="E42" s="847">
        <f t="shared" si="7"/>
        <v>0</v>
      </c>
      <c r="F42" s="847"/>
      <c r="G42" s="37" t="s">
        <v>59</v>
      </c>
      <c r="H42" s="37">
        <v>252</v>
      </c>
      <c r="I42" s="136">
        <f>INDEX('[1]111-112-113 ADDITIONAL FUND'!E$1:E$65536,MATCH($A$1,'[1]111-112-113 ADDITIONAL FUND'!A$1:A$65536))</f>
        <v>3380</v>
      </c>
      <c r="J42" s="46">
        <f t="shared" si="8"/>
        <v>0</v>
      </c>
      <c r="M42" s="2"/>
      <c r="R42" s="906"/>
      <c r="S42" s="906"/>
      <c r="T42" s="907"/>
      <c r="U42" s="907"/>
      <c r="V42" s="173" t="s">
        <v>59</v>
      </c>
      <c r="W42" s="173">
        <v>252</v>
      </c>
      <c r="X42" s="134">
        <f t="shared" si="9"/>
        <v>3380</v>
      </c>
      <c r="Y42" s="269">
        <f t="shared" ref="Y42:Y49" si="10">ROUND(T42*X42,2)</f>
        <v>0</v>
      </c>
    </row>
    <row r="43" spans="1:25" x14ac:dyDescent="0.25">
      <c r="A43" s="846"/>
      <c r="B43" s="846"/>
      <c r="C43" s="120">
        <v>0</v>
      </c>
      <c r="D43" s="120">
        <v>0</v>
      </c>
      <c r="E43" s="847">
        <f t="shared" si="7"/>
        <v>0</v>
      </c>
      <c r="F43" s="847"/>
      <c r="G43" s="37" t="s">
        <v>59</v>
      </c>
      <c r="H43" s="37">
        <v>253</v>
      </c>
      <c r="I43" s="136">
        <f>INDEX('[1]111-112-113 ADDITIONAL FUND'!F$1:F$65536,MATCH($A$1,'[1]111-112-113 ADDITIONAL FUND'!A$1:A$65536))</f>
        <v>6896</v>
      </c>
      <c r="J43" s="46">
        <f t="shared" si="8"/>
        <v>0</v>
      </c>
      <c r="M43" s="2"/>
      <c r="R43" s="906"/>
      <c r="S43" s="906"/>
      <c r="T43" s="888"/>
      <c r="U43" s="888"/>
      <c r="V43" s="173" t="s">
        <v>59</v>
      </c>
      <c r="W43" s="173">
        <v>253</v>
      </c>
      <c r="X43" s="134">
        <f t="shared" si="9"/>
        <v>6896</v>
      </c>
      <c r="Y43" s="269">
        <f t="shared" si="10"/>
        <v>0</v>
      </c>
    </row>
    <row r="44" spans="1:25" ht="20.25" customHeight="1" x14ac:dyDescent="0.25">
      <c r="A44" s="846"/>
      <c r="B44" s="846"/>
      <c r="C44" s="133">
        <v>5</v>
      </c>
      <c r="D44" s="120">
        <v>0</v>
      </c>
      <c r="E44" s="847">
        <f t="shared" si="7"/>
        <v>10</v>
      </c>
      <c r="F44" s="847"/>
      <c r="G44" s="47" t="s">
        <v>60</v>
      </c>
      <c r="H44" s="37">
        <v>251</v>
      </c>
      <c r="I44" s="136">
        <f>INDEX('[1]111-112-113 ADDITIONAL FUND'!G$1:G$65536,MATCH($A$1,'[1]111-112-113 ADDITIONAL FUND'!A$1:A$65536))</f>
        <v>1173</v>
      </c>
      <c r="J44" s="137">
        <f t="shared" si="8"/>
        <v>11730</v>
      </c>
      <c r="L44" s="3"/>
      <c r="M44" s="2"/>
      <c r="Q44" s="4"/>
      <c r="R44" s="906"/>
      <c r="S44" s="906"/>
      <c r="T44" s="888"/>
      <c r="U44" s="888"/>
      <c r="V44" s="182" t="s">
        <v>60</v>
      </c>
      <c r="W44" s="173">
        <v>251</v>
      </c>
      <c r="X44" s="134">
        <f t="shared" si="9"/>
        <v>1173</v>
      </c>
      <c r="Y44" s="269">
        <f t="shared" si="10"/>
        <v>0</v>
      </c>
    </row>
    <row r="45" spans="1:25" x14ac:dyDescent="0.25">
      <c r="A45" s="846"/>
      <c r="B45" s="846"/>
      <c r="C45" s="120">
        <v>0</v>
      </c>
      <c r="D45" s="120">
        <v>0</v>
      </c>
      <c r="E45" s="847">
        <f t="shared" si="7"/>
        <v>0</v>
      </c>
      <c r="F45" s="847"/>
      <c r="G45" s="47" t="s">
        <v>60</v>
      </c>
      <c r="H45" s="37">
        <v>252</v>
      </c>
      <c r="I45" s="136">
        <f>INDEX('[1]111-112-113 ADDITIONAL FUND'!H$1:H$65536,MATCH($A$1,'[1]111-112-113 ADDITIONAL FUND'!A$1:A$65536))</f>
        <v>3506</v>
      </c>
      <c r="J45" s="46">
        <f t="shared" si="8"/>
        <v>0</v>
      </c>
      <c r="M45" s="2"/>
      <c r="R45" s="906"/>
      <c r="S45" s="906"/>
      <c r="T45" s="888"/>
      <c r="U45" s="888"/>
      <c r="V45" s="182" t="s">
        <v>60</v>
      </c>
      <c r="W45" s="173">
        <v>252</v>
      </c>
      <c r="X45" s="134">
        <f t="shared" si="9"/>
        <v>3506</v>
      </c>
      <c r="Y45" s="269">
        <f t="shared" si="10"/>
        <v>0</v>
      </c>
    </row>
    <row r="46" spans="1:25" x14ac:dyDescent="0.25">
      <c r="A46" s="846"/>
      <c r="B46" s="846"/>
      <c r="C46" s="120">
        <v>0</v>
      </c>
      <c r="D46" s="120">
        <v>0</v>
      </c>
      <c r="E46" s="847">
        <f t="shared" si="7"/>
        <v>0</v>
      </c>
      <c r="F46" s="847"/>
      <c r="G46" s="47" t="s">
        <v>60</v>
      </c>
      <c r="H46" s="37">
        <v>253</v>
      </c>
      <c r="I46" s="136">
        <f>INDEX('[1]111-112-113 ADDITIONAL FUND'!I$1:I$65536,MATCH($A$1,'[1]111-112-113 ADDITIONAL FUND'!A$1:A$65536))</f>
        <v>7023</v>
      </c>
      <c r="J46" s="46">
        <f t="shared" si="8"/>
        <v>0</v>
      </c>
      <c r="M46" s="2"/>
      <c r="R46" s="906"/>
      <c r="S46" s="906"/>
      <c r="T46" s="888"/>
      <c r="U46" s="888"/>
      <c r="V46" s="182" t="s">
        <v>60</v>
      </c>
      <c r="W46" s="173">
        <v>253</v>
      </c>
      <c r="X46" s="134">
        <f t="shared" si="9"/>
        <v>7023</v>
      </c>
      <c r="Y46" s="269">
        <f t="shared" si="10"/>
        <v>0</v>
      </c>
    </row>
    <row r="47" spans="1:25" ht="16.5" customHeight="1" x14ac:dyDescent="0.25">
      <c r="A47" s="846"/>
      <c r="B47" s="846"/>
      <c r="C47" s="120">
        <v>0</v>
      </c>
      <c r="D47" s="120">
        <v>0</v>
      </c>
      <c r="E47" s="847">
        <f t="shared" si="7"/>
        <v>0</v>
      </c>
      <c r="F47" s="847"/>
      <c r="G47" s="47" t="s">
        <v>61</v>
      </c>
      <c r="H47" s="37">
        <v>251</v>
      </c>
      <c r="I47" s="136">
        <f>INDEX('[1]111-112-113 ADDITIONAL FUND'!J$1:J$65536,MATCH($A$1,'[1]111-112-113 ADDITIONAL FUND'!A$1:A$65536))</f>
        <v>835</v>
      </c>
      <c r="J47" s="46">
        <f t="shared" si="8"/>
        <v>0</v>
      </c>
      <c r="M47" s="2"/>
      <c r="R47" s="906"/>
      <c r="S47" s="906"/>
      <c r="T47" s="888"/>
      <c r="U47" s="888"/>
      <c r="V47" s="182" t="s">
        <v>61</v>
      </c>
      <c r="W47" s="173">
        <v>251</v>
      </c>
      <c r="X47" s="134">
        <f t="shared" si="9"/>
        <v>835</v>
      </c>
      <c r="Y47" s="269">
        <f t="shared" si="10"/>
        <v>0</v>
      </c>
    </row>
    <row r="48" spans="1:25" ht="15.75" customHeight="1" x14ac:dyDescent="0.25">
      <c r="A48" s="846"/>
      <c r="B48" s="846"/>
      <c r="C48" s="120">
        <v>0</v>
      </c>
      <c r="D48" s="120">
        <v>0</v>
      </c>
      <c r="E48" s="847">
        <f t="shared" si="7"/>
        <v>0</v>
      </c>
      <c r="F48" s="847"/>
      <c r="G48" s="47" t="s">
        <v>61</v>
      </c>
      <c r="H48" s="37">
        <v>252</v>
      </c>
      <c r="I48" s="136">
        <f>INDEX('[1]111-112-113 ADDITIONAL FUND'!K$1:K$65536,MATCH($A$1,'[1]111-112-113 ADDITIONAL FUND'!A$1:A$65536))</f>
        <v>3168</v>
      </c>
      <c r="J48" s="46">
        <f t="shared" si="8"/>
        <v>0</v>
      </c>
      <c r="M48" s="2"/>
      <c r="R48" s="906"/>
      <c r="S48" s="906"/>
      <c r="T48" s="888"/>
      <c r="U48" s="888"/>
      <c r="V48" s="182" t="s">
        <v>61</v>
      </c>
      <c r="W48" s="173">
        <v>252</v>
      </c>
      <c r="X48" s="134">
        <f t="shared" si="9"/>
        <v>3168</v>
      </c>
      <c r="Y48" s="269">
        <f t="shared" si="10"/>
        <v>0</v>
      </c>
    </row>
    <row r="49" spans="1:25" ht="15.75" customHeight="1" thickBot="1" x14ac:dyDescent="0.3">
      <c r="A49" s="846"/>
      <c r="B49" s="846"/>
      <c r="C49" s="120">
        <v>0</v>
      </c>
      <c r="D49" s="120">
        <v>0</v>
      </c>
      <c r="E49" s="852">
        <f t="shared" si="7"/>
        <v>0</v>
      </c>
      <c r="F49" s="852"/>
      <c r="G49" s="47" t="s">
        <v>61</v>
      </c>
      <c r="H49" s="37">
        <v>253</v>
      </c>
      <c r="I49" s="136">
        <f>INDEX('[1]111-112-113 ADDITIONAL FUND'!L$1:L$65536,MATCH($A$1,'[1]111-112-113 ADDITIONAL FUND'!A$1:A$65536))</f>
        <v>6685</v>
      </c>
      <c r="J49" s="46">
        <f t="shared" si="8"/>
        <v>0</v>
      </c>
      <c r="M49" s="2"/>
      <c r="R49" s="906"/>
      <c r="S49" s="906"/>
      <c r="T49" s="889"/>
      <c r="U49" s="889"/>
      <c r="V49" s="182" t="s">
        <v>61</v>
      </c>
      <c r="W49" s="173">
        <v>253</v>
      </c>
      <c r="X49" s="134">
        <f t="shared" si="9"/>
        <v>6685</v>
      </c>
      <c r="Y49" s="269">
        <f t="shared" si="10"/>
        <v>0</v>
      </c>
    </row>
    <row r="50" spans="1:25" ht="15.75" customHeight="1" thickBot="1" x14ac:dyDescent="0.3">
      <c r="A50" s="839" t="s">
        <v>62</v>
      </c>
      <c r="B50" s="839"/>
      <c r="C50" s="584">
        <f>SUM(C41:C49)</f>
        <v>5</v>
      </c>
      <c r="D50" s="706">
        <f>SUM(D41:D49)</f>
        <v>0</v>
      </c>
      <c r="E50" s="853">
        <f>SUM(E41:E49)</f>
        <v>10</v>
      </c>
      <c r="F50" s="853"/>
      <c r="G50" s="839" t="s">
        <v>63</v>
      </c>
      <c r="H50" s="839"/>
      <c r="I50" s="839"/>
      <c r="J50" s="276">
        <f>SUM(J41:J49)</f>
        <v>11730</v>
      </c>
      <c r="M50" s="2"/>
      <c r="R50" s="854" t="s">
        <v>62</v>
      </c>
      <c r="S50" s="854"/>
      <c r="T50" s="890">
        <f>SUM(T42:T49)</f>
        <v>0</v>
      </c>
      <c r="U50" s="890"/>
      <c r="V50" s="854" t="s">
        <v>63</v>
      </c>
      <c r="W50" s="854"/>
      <c r="X50" s="854"/>
      <c r="Y50" s="270">
        <f>SUM(Y41:Y49)</f>
        <v>0</v>
      </c>
    </row>
    <row r="51" spans="1:25" ht="15.75" customHeight="1" x14ac:dyDescent="0.25">
      <c r="A51" s="33"/>
      <c r="B51" s="33"/>
      <c r="C51" s="33"/>
      <c r="D51" s="33"/>
      <c r="E51" s="34"/>
      <c r="F51" s="34"/>
      <c r="G51" s="33"/>
      <c r="H51" s="33"/>
      <c r="I51" s="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48">
        <f>E28</f>
        <v>36</v>
      </c>
      <c r="D53" s="49" t="s">
        <v>66</v>
      </c>
      <c r="G53" s="812" t="s">
        <v>67</v>
      </c>
      <c r="H53" s="812"/>
      <c r="I53" s="709">
        <f>INDEX('[1]Detail 2025-26 FEFP Second'!E$1:E$65536,MATCH(A1,'[1]Detail 2025-26 FEFP Second'!A$1:A$65536))</f>
        <v>215320.92</v>
      </c>
      <c r="J53" s="708"/>
      <c r="M53" s="2"/>
      <c r="R53" s="187"/>
      <c r="S53" s="188"/>
      <c r="T53" s="170"/>
      <c r="U53" s="170"/>
      <c r="V53" s="170"/>
      <c r="W53" s="189" t="s">
        <v>68</v>
      </c>
      <c r="X53" s="885">
        <f>ROUND(T52/X52,6)</f>
        <v>0</v>
      </c>
      <c r="Y53" s="885"/>
    </row>
    <row r="54" spans="1:25" ht="22.5" customHeight="1" x14ac:dyDescent="0.25">
      <c r="A54" s="51"/>
      <c r="B54" s="52"/>
      <c r="C54" s="52"/>
      <c r="D54" s="52"/>
      <c r="H54" s="53" t="s">
        <v>68</v>
      </c>
      <c r="I54" s="849">
        <f>IFERROR(ROUND(C53/I53,6),0)</f>
        <v>1.6699999999999999E-4</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48">
        <f>G33</f>
        <v>36.825000000000003</v>
      </c>
      <c r="D56" s="49" t="s">
        <v>66</v>
      </c>
      <c r="G56" s="812" t="s">
        <v>71</v>
      </c>
      <c r="H56" s="812"/>
      <c r="I56" s="709">
        <f>INDEX('[1]Detail 2025-26 FEFP Second'!F$1:F$65536,MATCH(A1,'[1]Detail 2025-26 FEFP Second'!A$1:A$65536))</f>
        <v>229051.25000000003</v>
      </c>
      <c r="J56" s="708"/>
      <c r="M56" s="2"/>
      <c r="R56" s="187"/>
      <c r="S56" s="170"/>
      <c r="T56" s="170"/>
      <c r="U56" s="170"/>
      <c r="V56" s="170"/>
      <c r="W56" s="189" t="s">
        <v>68</v>
      </c>
      <c r="X56" s="885">
        <f>ROUND(T55/X55,6)</f>
        <v>0</v>
      </c>
      <c r="Y56" s="885"/>
    </row>
    <row r="57" spans="1:25" ht="18.75" customHeight="1" x14ac:dyDescent="0.25">
      <c r="A57" s="51"/>
      <c r="H57" s="53" t="s">
        <v>68</v>
      </c>
      <c r="I57" s="849">
        <f>IFERROR(ROUND(C56/I56,6),0)</f>
        <v>1.6100000000000001E-4</v>
      </c>
      <c r="J57" s="849"/>
      <c r="M57" s="2"/>
      <c r="P57" s="42"/>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48">
        <f>E28</f>
        <v>36</v>
      </c>
      <c r="D59" s="49" t="s">
        <v>66</v>
      </c>
      <c r="F59" s="812" t="s">
        <v>74</v>
      </c>
      <c r="G59" s="812"/>
      <c r="H59" s="812"/>
      <c r="I59" s="709">
        <f>INDEX('[1]Detail 2025-26 FEFP Second'!H$1:H$65536,MATCH(A1,'[1]Detail 2025-26 FEFP Second'!A$1:A$65536))</f>
        <v>186156.17</v>
      </c>
      <c r="J59" s="708"/>
      <c r="M59" s="2"/>
      <c r="R59" s="187"/>
      <c r="S59" s="170"/>
      <c r="T59" s="170"/>
      <c r="U59" s="170"/>
      <c r="V59" s="170"/>
      <c r="W59" s="189" t="s">
        <v>68</v>
      </c>
      <c r="X59" s="885">
        <f>ROUND(T58/X58,6)</f>
        <v>0</v>
      </c>
      <c r="Y59" s="885"/>
    </row>
    <row r="60" spans="1:25" ht="18" customHeight="1" x14ac:dyDescent="0.25">
      <c r="A60" s="51"/>
      <c r="H60" s="53" t="s">
        <v>68</v>
      </c>
      <c r="I60" s="849">
        <f>IFERROR(ROUND(C59/I59,6),0)</f>
        <v>1.93E-4</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x14ac:dyDescent="0.25">
      <c r="A62" s="848" t="s">
        <v>73</v>
      </c>
      <c r="B62" s="848"/>
      <c r="C62" s="48">
        <f>E28</f>
        <v>36</v>
      </c>
      <c r="D62" s="49" t="s">
        <v>66</v>
      </c>
      <c r="F62" s="812" t="s">
        <v>76</v>
      </c>
      <c r="G62" s="812"/>
      <c r="H62" s="812"/>
      <c r="I62" s="709">
        <f>INDEX('[1]Detail 2025-26 FEFP Second'!G$1:G$65536,MATCH(A1,'[1]Detail 2025-26 FEFP Second'!A$1:A$65536))</f>
        <v>215016.58000000002</v>
      </c>
      <c r="J62" s="708"/>
      <c r="M62" s="2"/>
      <c r="R62" s="187"/>
      <c r="S62" s="170"/>
      <c r="T62" s="170"/>
      <c r="U62" s="170"/>
      <c r="V62" s="170"/>
      <c r="W62" s="189" t="s">
        <v>68</v>
      </c>
      <c r="X62" s="885">
        <f>ROUND(T61/X61,6)</f>
        <v>0</v>
      </c>
      <c r="Y62" s="885"/>
    </row>
    <row r="63" spans="1:25" ht="19.5" customHeight="1" x14ac:dyDescent="0.25">
      <c r="A63" s="51"/>
      <c r="H63" s="53" t="s">
        <v>68</v>
      </c>
      <c r="I63" s="849">
        <f>IFERROR(ROUND(C62/I62,6),0)</f>
        <v>1.6699999999999999E-4</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x14ac:dyDescent="0.25">
      <c r="A65" s="848" t="s">
        <v>73</v>
      </c>
      <c r="B65" s="848"/>
      <c r="C65" s="48">
        <f>E28</f>
        <v>36</v>
      </c>
      <c r="D65" s="813" t="s">
        <v>560</v>
      </c>
      <c r="E65" s="813"/>
      <c r="F65" s="813"/>
      <c r="G65" s="813"/>
      <c r="H65" s="813"/>
      <c r="I65" s="709">
        <f>INDEX('[1]Detail 2025-26 FEFP Second'!I$1:I$65536,MATCH(A1,'[1]Detail 2025-26 FEFP Second'!A$1:A$65536))</f>
        <v>185851.83000000002</v>
      </c>
      <c r="J65" s="708"/>
      <c r="M65" s="2"/>
      <c r="R65" s="190"/>
      <c r="S65" s="170"/>
      <c r="T65" s="170"/>
      <c r="U65" s="170"/>
      <c r="V65" s="170"/>
      <c r="W65" s="189" t="s">
        <v>68</v>
      </c>
      <c r="X65" s="885">
        <f>ROUND(T64/X64,6)</f>
        <v>0</v>
      </c>
      <c r="Y65" s="885"/>
    </row>
    <row r="66" spans="1:26" ht="19.5" customHeight="1" x14ac:dyDescent="0.25">
      <c r="A66" s="51"/>
      <c r="H66" s="53" t="s">
        <v>68</v>
      </c>
      <c r="I66" s="849">
        <f>IFERROR(ROUND(C65/I65,6),0)</f>
        <v>1.94E-4</v>
      </c>
      <c r="J66" s="849"/>
      <c r="M66" s="2"/>
      <c r="R66" s="187"/>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169"/>
      <c r="V67" s="193">
        <f>G68</f>
        <v>47290747</v>
      </c>
      <c r="W67" s="173" t="s">
        <v>81</v>
      </c>
      <c r="X67" s="176">
        <f>X62</f>
        <v>0</v>
      </c>
      <c r="Y67" s="271">
        <f>ROUND(V67*X67,2)</f>
        <v>0</v>
      </c>
    </row>
    <row r="68" spans="1:26" ht="30.75" customHeight="1" x14ac:dyDescent="0.25">
      <c r="A68" s="857" t="s">
        <v>79</v>
      </c>
      <c r="B68" s="857"/>
      <c r="C68" s="857"/>
      <c r="D68" s="857"/>
      <c r="E68" s="857"/>
      <c r="F68" s="36" t="s">
        <v>80</v>
      </c>
      <c r="G68" s="277">
        <f>INDEX('[1]Detail 2025-26 FEFP Second'!N$1:N$65536,MATCH(A1,'[1]Detail 2025-26 FEFP Second'!A$1:A$65536))</f>
        <v>47290747</v>
      </c>
      <c r="H68" s="37" t="s">
        <v>81</v>
      </c>
      <c r="I68" s="41">
        <f>I63</f>
        <v>1.6699999999999999E-4</v>
      </c>
      <c r="J68" s="138">
        <f>ROUND(G68*I68,2)</f>
        <v>7897.55</v>
      </c>
      <c r="M68" s="2"/>
      <c r="R68" s="886" t="s">
        <v>82</v>
      </c>
      <c r="S68" s="886"/>
      <c r="T68" s="177"/>
      <c r="U68" s="169"/>
      <c r="V68" s="194"/>
      <c r="W68" s="173"/>
      <c r="X68" s="176"/>
      <c r="Y68" s="271"/>
    </row>
    <row r="69" spans="1:26" ht="30.75" customHeight="1" x14ac:dyDescent="0.25">
      <c r="A69" s="840" t="s">
        <v>82</v>
      </c>
      <c r="B69" s="840"/>
      <c r="C69" s="107"/>
      <c r="D69" s="107"/>
      <c r="E69" s="42"/>
      <c r="F69" s="36"/>
      <c r="G69" s="63"/>
      <c r="H69" s="37"/>
      <c r="I69" s="41"/>
      <c r="J69" s="62"/>
      <c r="M69" s="2"/>
      <c r="R69" s="887" t="s">
        <v>166</v>
      </c>
      <c r="S69" s="882"/>
      <c r="T69" s="882"/>
      <c r="U69" s="169"/>
      <c r="V69" s="195">
        <f>G70</f>
        <v>0</v>
      </c>
      <c r="W69" s="173" t="s">
        <v>81</v>
      </c>
      <c r="X69" s="176">
        <f>X53</f>
        <v>0</v>
      </c>
      <c r="Y69" s="266">
        <f t="shared" ref="Y69:Y71" si="11">ROUND(V69*X69,2)</f>
        <v>0</v>
      </c>
    </row>
    <row r="70" spans="1:26" ht="17.25" customHeight="1" x14ac:dyDescent="0.25">
      <c r="A70" s="860" t="s">
        <v>83</v>
      </c>
      <c r="B70" s="860"/>
      <c r="C70" s="860"/>
      <c r="D70" s="860"/>
      <c r="E70" s="860"/>
      <c r="F70" s="36" t="s">
        <v>84</v>
      </c>
      <c r="G70" s="277">
        <f>INDEX('[1]Detail 2025-26 FEFP Second'!L$1:L$65536,MATCH(A1,'[1]Detail 2025-26 FEFP Second'!A$1:A$65536))</f>
        <v>0</v>
      </c>
      <c r="H70" s="37" t="s">
        <v>81</v>
      </c>
      <c r="I70" s="41">
        <f>I54</f>
        <v>1.6699999999999999E-4</v>
      </c>
      <c r="J70" s="138">
        <f>ROUND(G70*I70,2)</f>
        <v>0</v>
      </c>
      <c r="M70" s="2"/>
      <c r="R70" s="758" t="s">
        <v>167</v>
      </c>
      <c r="S70" s="758"/>
      <c r="T70" s="758"/>
      <c r="U70" s="169"/>
      <c r="V70" s="193">
        <f>G71</f>
        <v>19167881</v>
      </c>
      <c r="W70" s="173" t="s">
        <v>81</v>
      </c>
      <c r="X70" s="176">
        <f>X65</f>
        <v>0</v>
      </c>
      <c r="Y70" s="266">
        <f t="shared" si="11"/>
        <v>0</v>
      </c>
    </row>
    <row r="71" spans="1:26" ht="19.5" customHeight="1" x14ac:dyDescent="0.25">
      <c r="A71" s="841" t="s">
        <v>85</v>
      </c>
      <c r="B71" s="841"/>
      <c r="C71" s="841"/>
      <c r="D71" s="841"/>
      <c r="E71" s="841"/>
      <c r="F71" s="36" t="s">
        <v>86</v>
      </c>
      <c r="G71" s="277">
        <f>INDEX('[1]Detail 2025-26 FEFP Second'!M$1:M$65536,MATCH(A1,'[1]Detail 2025-26 FEFP Second'!A$1:A$65536))</f>
        <v>19167881</v>
      </c>
      <c r="H71" s="37" t="s">
        <v>81</v>
      </c>
      <c r="I71" s="41">
        <f>I66</f>
        <v>1.94E-4</v>
      </c>
      <c r="J71" s="138">
        <f>ROUND(G71*I71,2)</f>
        <v>3718.57</v>
      </c>
      <c r="M71" s="2"/>
      <c r="R71" s="177" t="s">
        <v>168</v>
      </c>
      <c r="S71" s="177"/>
      <c r="T71" s="177"/>
      <c r="U71" s="169"/>
      <c r="V71" s="171">
        <f>G72</f>
        <v>11546889</v>
      </c>
      <c r="W71" s="173" t="s">
        <v>81</v>
      </c>
      <c r="X71" s="176">
        <f>X59</f>
        <v>0</v>
      </c>
      <c r="Y71" s="266">
        <f t="shared" si="11"/>
        <v>0</v>
      </c>
    </row>
    <row r="72" spans="1:26" ht="19.5" customHeight="1" x14ac:dyDescent="0.25">
      <c r="A72" s="42" t="s">
        <v>87</v>
      </c>
      <c r="B72" s="42"/>
      <c r="C72" s="42"/>
      <c r="D72" s="42"/>
      <c r="E72" s="42"/>
      <c r="F72" s="36" t="s">
        <v>88</v>
      </c>
      <c r="G72" s="277">
        <f>INDEX('[1]Detail 2025-26 FEFP Second'!T$1:T$65536,MATCH(A1,'[1]Detail 2025-26 FEFP Second'!A$1:A$65536))</f>
        <v>11546889</v>
      </c>
      <c r="H72" s="37" t="s">
        <v>81</v>
      </c>
      <c r="I72" s="41">
        <f>I60</f>
        <v>1.93E-4</v>
      </c>
      <c r="J72" s="138">
        <f>ROUND(G72*I72,2)</f>
        <v>2228.5500000000002</v>
      </c>
      <c r="M72" s="2"/>
      <c r="R72" s="177" t="s">
        <v>169</v>
      </c>
      <c r="S72" s="177"/>
      <c r="T72" s="177"/>
      <c r="U72" s="169"/>
      <c r="V72" s="196"/>
      <c r="W72" s="173"/>
      <c r="X72" s="176"/>
      <c r="Y72" s="178"/>
    </row>
    <row r="73" spans="1:26" ht="24.75" customHeight="1" x14ac:dyDescent="0.25">
      <c r="A73" s="42" t="s">
        <v>89</v>
      </c>
      <c r="B73" s="42"/>
      <c r="C73" s="42"/>
      <c r="D73" s="42"/>
      <c r="E73" s="42"/>
      <c r="F73" s="36" t="s">
        <v>90</v>
      </c>
      <c r="G73" s="64"/>
      <c r="H73" s="37"/>
      <c r="I73" s="41"/>
      <c r="J73" s="30"/>
      <c r="M73" s="2"/>
      <c r="R73" s="768" t="s">
        <v>91</v>
      </c>
      <c r="S73" s="768"/>
      <c r="T73" s="769" t="s">
        <v>170</v>
      </c>
      <c r="U73" s="770"/>
      <c r="V73" s="770"/>
      <c r="W73" s="770"/>
      <c r="X73" s="770"/>
      <c r="Y73" s="153"/>
    </row>
    <row r="74" spans="1:26" ht="63" customHeight="1" x14ac:dyDescent="0.25">
      <c r="A74" s="771" t="s">
        <v>91</v>
      </c>
      <c r="B74" s="771"/>
      <c r="C74" s="101"/>
      <c r="D74" s="101"/>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69"/>
      <c r="D75" s="69"/>
      <c r="E75" s="65"/>
      <c r="F75" s="65"/>
      <c r="G75" s="65"/>
      <c r="H75" s="65"/>
      <c r="I75" s="65"/>
      <c r="J75" s="129"/>
      <c r="L75" s="66"/>
      <c r="M75" s="2"/>
      <c r="O75" s="36"/>
      <c r="P75" s="36"/>
      <c r="R75" s="761" t="s">
        <v>94</v>
      </c>
      <c r="S75" s="761"/>
      <c r="T75" s="197"/>
      <c r="U75" s="197"/>
      <c r="V75" s="197"/>
      <c r="W75" s="197"/>
      <c r="X75" s="197"/>
      <c r="Y75" s="197"/>
    </row>
    <row r="76" spans="1:26" ht="18.75" customHeight="1" x14ac:dyDescent="0.25">
      <c r="A76" s="762" t="s">
        <v>94</v>
      </c>
      <c r="B76" s="762"/>
      <c r="C76" s="69"/>
      <c r="D76" s="69"/>
      <c r="E76" s="65"/>
      <c r="F76" s="65"/>
      <c r="G76" s="65"/>
      <c r="H76" s="65"/>
      <c r="I76" s="65"/>
      <c r="J76" s="129"/>
      <c r="L76" s="67"/>
      <c r="M76" s="2"/>
      <c r="O76" s="36"/>
      <c r="P76" s="36"/>
      <c r="R76" s="759" t="s">
        <v>95</v>
      </c>
      <c r="S76" s="759"/>
      <c r="T76" s="198"/>
      <c r="U76" s="198"/>
      <c r="V76" s="198"/>
      <c r="W76" s="198"/>
      <c r="X76" s="198"/>
      <c r="Y76" s="197"/>
    </row>
    <row r="77" spans="1:26" ht="18.75" customHeight="1" x14ac:dyDescent="0.25">
      <c r="A77" s="760" t="s">
        <v>95</v>
      </c>
      <c r="B77" s="760"/>
      <c r="C77" s="108"/>
      <c r="D77" s="108"/>
      <c r="E77" s="68"/>
      <c r="F77" s="68"/>
      <c r="G77" s="68"/>
      <c r="H77" s="68"/>
      <c r="I77" s="68"/>
      <c r="J77" s="128"/>
      <c r="L77" s="67"/>
      <c r="M77" s="2"/>
      <c r="O77" s="36"/>
      <c r="P77" s="36"/>
      <c r="R77" s="199" t="s">
        <v>96</v>
      </c>
      <c r="S77" s="199"/>
      <c r="T77" s="197"/>
      <c r="U77" s="197"/>
      <c r="V77" s="197"/>
      <c r="W77" s="197"/>
      <c r="X77" s="197"/>
      <c r="Y77" s="197"/>
    </row>
    <row r="78" spans="1:26" ht="20.25" customHeight="1" x14ac:dyDescent="0.25">
      <c r="A78" s="69" t="s">
        <v>96</v>
      </c>
      <c r="B78" s="69"/>
      <c r="C78" s="69"/>
      <c r="D78" s="69"/>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69"/>
      <c r="D79" s="69"/>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105"/>
      <c r="D80" s="105"/>
      <c r="E80" s="73"/>
      <c r="F80" s="73"/>
      <c r="G80" s="73"/>
      <c r="H80" s="73"/>
      <c r="I80" s="73"/>
      <c r="J80" s="129"/>
      <c r="K80" s="70"/>
      <c r="L80" s="70"/>
      <c r="M80" s="71"/>
      <c r="N80" s="70"/>
      <c r="O80" s="70"/>
      <c r="P80" s="70"/>
      <c r="Q80" s="70"/>
      <c r="R80" s="166"/>
      <c r="S80" s="166"/>
      <c r="T80" s="166"/>
      <c r="U80" s="166"/>
      <c r="V80" s="164"/>
      <c r="W80" s="167"/>
      <c r="X80" s="167" t="s">
        <v>99</v>
      </c>
      <c r="Y80" s="201">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6"/>
      <c r="S81" s="166"/>
      <c r="T81" s="166"/>
      <c r="U81" s="166"/>
      <c r="V81" s="164"/>
      <c r="W81" s="167"/>
      <c r="X81" s="167" t="s">
        <v>100</v>
      </c>
      <c r="Y81" s="201">
        <f>J82</f>
        <v>11461.43</v>
      </c>
      <c r="Z81" s="72"/>
    </row>
    <row r="82" spans="1:26" ht="18.75" customHeight="1" x14ac:dyDescent="0.25">
      <c r="A82" s="33"/>
      <c r="B82" s="33"/>
      <c r="C82" s="33"/>
      <c r="D82" s="33"/>
      <c r="E82" s="33"/>
      <c r="F82" s="33"/>
      <c r="G82" s="31"/>
      <c r="H82" s="34"/>
      <c r="I82" s="34" t="s">
        <v>100</v>
      </c>
      <c r="J82" s="74">
        <v>11461.43</v>
      </c>
      <c r="K82" s="70"/>
      <c r="L82" s="70"/>
      <c r="M82" s="71"/>
      <c r="N82" s="70"/>
      <c r="O82" s="70"/>
      <c r="P82" s="70"/>
      <c r="Q82" s="70"/>
      <c r="R82" s="166"/>
      <c r="S82" s="166"/>
      <c r="T82" s="166"/>
      <c r="U82" s="166"/>
      <c r="V82" s="164"/>
      <c r="W82" s="167"/>
      <c r="X82" s="167"/>
      <c r="Y82" s="202"/>
      <c r="Z82" s="72"/>
    </row>
    <row r="83" spans="1:26" ht="15.75" customHeight="1" x14ac:dyDescent="0.25">
      <c r="A83" s="33"/>
      <c r="B83" s="33"/>
      <c r="C83" s="33"/>
      <c r="D83" s="33"/>
      <c r="E83" s="33"/>
      <c r="F83" s="33"/>
      <c r="G83" s="31"/>
      <c r="H83" s="34"/>
      <c r="I83" s="34"/>
      <c r="J83" s="75"/>
      <c r="K83" s="70"/>
      <c r="L83" s="70"/>
      <c r="M83" s="71"/>
      <c r="N83" s="70"/>
      <c r="O83" s="70"/>
      <c r="P83" s="70"/>
      <c r="Q83" s="70"/>
      <c r="R83" s="756" t="s">
        <v>101</v>
      </c>
      <c r="S83" s="756"/>
      <c r="T83" s="170"/>
      <c r="U83" s="170"/>
      <c r="V83" s="171">
        <f>G84</f>
        <v>63269727</v>
      </c>
      <c r="W83" s="173" t="s">
        <v>81</v>
      </c>
      <c r="X83" s="176">
        <f>IFERROR(ROUND(Y80/Y81,6),0)</f>
        <v>0</v>
      </c>
      <c r="Y83" s="266">
        <f>ROUND(V83*X83,2)</f>
        <v>0</v>
      </c>
      <c r="Z83" s="72"/>
    </row>
    <row r="84" spans="1:26" ht="21" customHeight="1" x14ac:dyDescent="0.25">
      <c r="A84" s="757" t="s">
        <v>101</v>
      </c>
      <c r="B84" s="757"/>
      <c r="C84" s="52"/>
      <c r="D84" s="52"/>
      <c r="G84" s="121">
        <f>INDEX('[1]Detail 2025-26 FEFP Second'!O$1:O$65536,MATCH(A1,'[1]Detail 2025-26 FEFP Second'!A$1:A$65536))</f>
        <v>63269727</v>
      </c>
      <c r="H84" s="37" t="s">
        <v>81</v>
      </c>
      <c r="I84" s="41">
        <f>IFERROR(ROUND(J81/J82,6),0)</f>
        <v>0</v>
      </c>
      <c r="J84" s="62">
        <f>ROUND(G84*I84,2)</f>
        <v>0</v>
      </c>
      <c r="K84" s="70"/>
      <c r="L84" s="70"/>
      <c r="M84" s="71"/>
      <c r="N84" s="70"/>
      <c r="O84" s="70"/>
      <c r="P84" s="70"/>
      <c r="Q84" s="70"/>
      <c r="R84" s="758" t="s">
        <v>171</v>
      </c>
      <c r="S84" s="758"/>
      <c r="T84" s="758"/>
      <c r="U84" s="169"/>
      <c r="V84" s="274"/>
      <c r="W84" s="173"/>
      <c r="X84" s="176"/>
      <c r="Y84" s="266"/>
    </row>
    <row r="85" spans="1:26" ht="17.25" customHeight="1" x14ac:dyDescent="0.25">
      <c r="A85" s="841" t="s">
        <v>102</v>
      </c>
      <c r="B85" s="841"/>
      <c r="C85" s="841"/>
      <c r="D85" s="841"/>
      <c r="E85" s="841"/>
      <c r="F85" s="36" t="s">
        <v>103</v>
      </c>
      <c r="G85" s="121">
        <f>INDEX('[1]Detail 2025-26 FEFP Second'!Q$1:Q$65536,MATCH(A1,'[1]Detail 2025-26 FEFP Second'!A$1:A$65536))</f>
        <v>268816278</v>
      </c>
      <c r="H85" s="37" t="s">
        <v>81</v>
      </c>
      <c r="I85" s="41">
        <f>I57</f>
        <v>1.6100000000000001E-4</v>
      </c>
      <c r="J85" s="138">
        <f>ROUND(G85*I85,2)</f>
        <v>43279.42</v>
      </c>
      <c r="K85" s="70"/>
      <c r="L85" s="70"/>
      <c r="M85" s="71"/>
      <c r="N85" s="70"/>
      <c r="O85" s="70"/>
      <c r="P85" s="70"/>
      <c r="Q85" s="70"/>
      <c r="R85" s="758" t="s">
        <v>172</v>
      </c>
      <c r="S85" s="758"/>
      <c r="T85" s="758"/>
      <c r="U85" s="169"/>
      <c r="V85" s="171">
        <f>G85</f>
        <v>268816278</v>
      </c>
      <c r="W85" s="173" t="s">
        <v>81</v>
      </c>
      <c r="X85" s="176">
        <f>X56</f>
        <v>0</v>
      </c>
      <c r="Y85" s="266">
        <f t="shared" ref="Y85:Y87" si="12">ROUND(V85*X85,2)</f>
        <v>0</v>
      </c>
    </row>
    <row r="86" spans="1:26" ht="14.25" customHeight="1" x14ac:dyDescent="0.25">
      <c r="A86" s="841" t="s">
        <v>104</v>
      </c>
      <c r="B86" s="841"/>
      <c r="C86" s="841"/>
      <c r="D86" s="841"/>
      <c r="E86" s="841"/>
      <c r="F86" s="36" t="s">
        <v>103</v>
      </c>
      <c r="G86" s="139">
        <f>INDEX('[1]Detail 2025-26 FEFP Second'!R$1:R$65536,MATCH(A1,'[1]Detail 2025-26 FEFP Second'!A$1:A$65536))</f>
        <v>0</v>
      </c>
      <c r="H86" s="37" t="s">
        <v>81</v>
      </c>
      <c r="I86" s="41">
        <f>I57</f>
        <v>1.6100000000000001E-4</v>
      </c>
      <c r="J86" s="138">
        <f>ROUND(G86*I86,2)</f>
        <v>0</v>
      </c>
      <c r="K86" s="70"/>
      <c r="L86" s="71"/>
      <c r="M86" s="76"/>
      <c r="N86" s="76"/>
      <c r="O86" s="76"/>
      <c r="P86" s="76"/>
      <c r="Q86" s="70"/>
      <c r="R86" s="758" t="s">
        <v>173</v>
      </c>
      <c r="S86" s="758"/>
      <c r="T86" s="758"/>
      <c r="U86" s="169"/>
      <c r="V86" s="203">
        <f>G86</f>
        <v>0</v>
      </c>
      <c r="W86" s="173" t="s">
        <v>81</v>
      </c>
      <c r="X86" s="176">
        <f>X56</f>
        <v>0</v>
      </c>
      <c r="Y86" s="266">
        <f t="shared" si="12"/>
        <v>0</v>
      </c>
    </row>
    <row r="87" spans="1:26" ht="18" customHeight="1" x14ac:dyDescent="0.25">
      <c r="A87" s="841" t="s">
        <v>105</v>
      </c>
      <c r="B87" s="841"/>
      <c r="C87" s="841"/>
      <c r="D87" s="841"/>
      <c r="E87" s="841"/>
      <c r="F87" s="36" t="s">
        <v>84</v>
      </c>
      <c r="G87" s="139">
        <f>INDEX('[1]Detail 2025-26 FEFP Second'!S$1:S$65536,MATCH(A1,'[1]Detail 2025-26 FEFP Second'!A$1:A$65536))</f>
        <v>0</v>
      </c>
      <c r="H87" s="37" t="s">
        <v>81</v>
      </c>
      <c r="I87" s="41">
        <f>I54</f>
        <v>1.6699999999999999E-4</v>
      </c>
      <c r="J87" s="62">
        <f>ROUND(G87*I87,2)</f>
        <v>0</v>
      </c>
      <c r="K87" s="77"/>
      <c r="L87" s="70"/>
      <c r="M87" s="71"/>
      <c r="N87" s="70"/>
      <c r="O87" s="70"/>
      <c r="P87" s="70"/>
      <c r="Q87" s="70"/>
      <c r="R87" s="177" t="s">
        <v>174</v>
      </c>
      <c r="S87" s="177"/>
      <c r="T87" s="177"/>
      <c r="U87" s="169"/>
      <c r="V87" s="203">
        <f>G87</f>
        <v>0</v>
      </c>
      <c r="W87" s="173"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710" t="s">
        <v>109</v>
      </c>
      <c r="H89" s="710"/>
      <c r="I89" s="710"/>
      <c r="J89" s="710"/>
      <c r="K89" s="70"/>
      <c r="L89" s="70"/>
      <c r="M89" s="71"/>
      <c r="N89" s="70"/>
      <c r="O89" s="70"/>
      <c r="P89" s="70"/>
      <c r="Q89" s="70"/>
      <c r="R89" s="879" t="s">
        <v>107</v>
      </c>
      <c r="S89" s="879"/>
      <c r="T89" s="855" t="s">
        <v>176</v>
      </c>
      <c r="U89" s="880"/>
      <c r="V89" s="881" t="s">
        <v>109</v>
      </c>
      <c r="W89" s="881"/>
      <c r="X89" s="881"/>
      <c r="Y89" s="881"/>
    </row>
    <row r="90" spans="1:26" ht="18.75" customHeight="1" x14ac:dyDescent="0.25">
      <c r="A90" s="33" t="s">
        <v>110</v>
      </c>
      <c r="B90" s="80">
        <f>I12+I13+I18+I21+I24</f>
        <v>0</v>
      </c>
      <c r="C90" s="80"/>
      <c r="D90" s="915">
        <f>I6</f>
        <v>1.0355000000000001</v>
      </c>
      <c r="E90" s="915"/>
      <c r="F90" s="915"/>
      <c r="G90" s="122">
        <f>'[1]Detail 2025-26 FEFP Second'!AB3</f>
        <v>958.42</v>
      </c>
      <c r="H90" s="47" t="s">
        <v>68</v>
      </c>
      <c r="I90" s="713">
        <f>ROUND(B90*D90*G90,2)</f>
        <v>0</v>
      </c>
      <c r="J90" s="81"/>
      <c r="K90" s="70"/>
      <c r="L90" s="70"/>
      <c r="M90" s="71"/>
      <c r="N90" s="70"/>
      <c r="O90" s="70"/>
      <c r="P90" s="70"/>
      <c r="Q90" s="70"/>
      <c r="R90" s="166" t="s">
        <v>110</v>
      </c>
      <c r="S90" s="204">
        <f>X12+X13+X18+X21+X24</f>
        <v>0</v>
      </c>
      <c r="T90" s="870">
        <f>X6</f>
        <v>1.0355000000000001</v>
      </c>
      <c r="U90" s="870"/>
      <c r="V90" s="122">
        <f>G90</f>
        <v>958.42</v>
      </c>
      <c r="W90" s="182" t="s">
        <v>68</v>
      </c>
      <c r="X90" s="272">
        <f>ROUND(S90*T90*V90,2)</f>
        <v>0</v>
      </c>
      <c r="Y90" s="205"/>
    </row>
    <row r="91" spans="1:26" ht="21" customHeight="1" x14ac:dyDescent="0.25">
      <c r="A91" s="82" t="s">
        <v>60</v>
      </c>
      <c r="B91" s="80">
        <f>I14+I15+I19+I22+I25</f>
        <v>36.825000000000003</v>
      </c>
      <c r="C91" s="80"/>
      <c r="D91" s="915">
        <f>I6</f>
        <v>1.0355000000000001</v>
      </c>
      <c r="E91" s="915"/>
      <c r="F91" s="915"/>
      <c r="G91" s="122">
        <f>'[1]Detail 2025-26 FEFP Second'!AC3</f>
        <v>915.09</v>
      </c>
      <c r="H91" s="47" t="s">
        <v>68</v>
      </c>
      <c r="I91" s="714">
        <f>ROUND(B91*D91*G91,2)</f>
        <v>34894.47</v>
      </c>
      <c r="K91" s="70"/>
      <c r="L91" s="70"/>
      <c r="M91" s="71"/>
      <c r="N91" s="70"/>
      <c r="O91" s="70"/>
      <c r="P91" s="70"/>
      <c r="Q91" s="70"/>
      <c r="R91" s="206" t="s">
        <v>60</v>
      </c>
      <c r="S91" s="204">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141">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84" t="s">
        <v>111</v>
      </c>
      <c r="B93" s="109">
        <f>SUM(B90:B92)</f>
        <v>36.825000000000003</v>
      </c>
      <c r="C93" s="109"/>
      <c r="D93" s="109"/>
      <c r="E93" s="867" t="s">
        <v>112</v>
      </c>
      <c r="F93" s="867"/>
      <c r="G93" s="867"/>
      <c r="H93" s="867"/>
      <c r="I93" s="867"/>
      <c r="J93" s="127">
        <f>IF(A1=75,0,I92+I91+I90)</f>
        <v>34894.47</v>
      </c>
      <c r="K93" s="70"/>
      <c r="L93" s="70"/>
      <c r="M93" s="71"/>
      <c r="N93" s="70"/>
      <c r="O93" s="70"/>
      <c r="P93" s="70"/>
      <c r="Q93" s="70"/>
      <c r="R93" s="209"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36" t="s">
        <v>115</v>
      </c>
      <c r="G95" s="869"/>
      <c r="H95" s="869"/>
      <c r="I95" s="869"/>
      <c r="J95" s="869"/>
      <c r="K95" s="70"/>
      <c r="L95" s="70"/>
      <c r="M95" s="71"/>
      <c r="N95" s="70"/>
      <c r="O95" s="70"/>
      <c r="P95" s="70"/>
      <c r="Q95" s="70"/>
      <c r="R95" s="758" t="s">
        <v>177</v>
      </c>
      <c r="S95" s="758"/>
      <c r="T95" s="758"/>
      <c r="U95" s="169"/>
      <c r="V95" s="877"/>
      <c r="W95" s="877"/>
      <c r="X95" s="877"/>
      <c r="Y95" s="877"/>
    </row>
    <row r="96" spans="1:26" ht="15" customHeight="1" x14ac:dyDescent="0.25">
      <c r="B96" s="42"/>
      <c r="C96" s="123" t="s">
        <v>159</v>
      </c>
      <c r="D96" s="123" t="s">
        <v>160</v>
      </c>
      <c r="E96" s="917" t="s">
        <v>161</v>
      </c>
      <c r="F96" s="917"/>
      <c r="G96" s="917"/>
      <c r="H96" s="36"/>
      <c r="I96" s="36"/>
      <c r="J96" s="36"/>
      <c r="K96" s="70"/>
      <c r="L96" s="70"/>
      <c r="M96" s="71"/>
      <c r="N96" s="70"/>
      <c r="O96" s="70"/>
      <c r="P96" s="70"/>
      <c r="Q96" s="70"/>
      <c r="R96" s="878" t="s">
        <v>116</v>
      </c>
      <c r="S96" s="878"/>
      <c r="T96" s="872">
        <f>IF(I111=1,E97,0)</f>
        <v>0</v>
      </c>
      <c r="U96" s="872"/>
      <c r="V96" s="872"/>
      <c r="W96" s="211" t="s">
        <v>117</v>
      </c>
      <c r="X96" s="212">
        <f>I97</f>
        <v>617</v>
      </c>
      <c r="Y96" s="266">
        <f>ROUND(X96*T96,2)</f>
        <v>0</v>
      </c>
    </row>
    <row r="97" spans="1:25" ht="17.25" customHeight="1" x14ac:dyDescent="0.25">
      <c r="A97" s="839" t="s">
        <v>116</v>
      </c>
      <c r="B97" s="839"/>
      <c r="C97" s="125">
        <v>7</v>
      </c>
      <c r="D97" s="125">
        <v>7</v>
      </c>
      <c r="E97" s="871">
        <f>(C97+D97)/2</f>
        <v>7</v>
      </c>
      <c r="F97" s="871"/>
      <c r="G97" s="871"/>
      <c r="H97" s="85" t="s">
        <v>117</v>
      </c>
      <c r="I97" s="130">
        <f>IF(A1&gt;67,0,INDEX('[1]Transportation Per Student'!F$1:F$65536,MATCH(A1,'[1]Transportation Per Student'!B$1:B$65536)))</f>
        <v>617</v>
      </c>
      <c r="J97" s="138">
        <f>ROUND(I97*E97,2)</f>
        <v>4319</v>
      </c>
      <c r="K97" s="70"/>
      <c r="L97" s="70"/>
      <c r="M97" s="71"/>
      <c r="N97" s="70"/>
      <c r="O97" s="70"/>
      <c r="P97" s="70"/>
      <c r="Q97" s="70"/>
      <c r="R97" s="878" t="s">
        <v>118</v>
      </c>
      <c r="S97" s="878"/>
      <c r="T97" s="872">
        <f>IF(I112=1,E98,0)</f>
        <v>0</v>
      </c>
      <c r="U97" s="872"/>
      <c r="V97" s="872"/>
      <c r="W97" s="211" t="s">
        <v>117</v>
      </c>
      <c r="X97" s="212">
        <f>I98</f>
        <v>1870</v>
      </c>
      <c r="Y97" s="266">
        <f>ROUND(X97*T97,2)</f>
        <v>0</v>
      </c>
    </row>
    <row r="98" spans="1:25" ht="17.25" customHeight="1" x14ac:dyDescent="0.25">
      <c r="A98" s="839" t="s">
        <v>118</v>
      </c>
      <c r="B98" s="839"/>
      <c r="C98" s="273">
        <v>0</v>
      </c>
      <c r="D98" s="273"/>
      <c r="E98" s="873">
        <f>(C98+D98)/2</f>
        <v>0</v>
      </c>
      <c r="F98" s="873"/>
      <c r="G98" s="873"/>
      <c r="H98" s="85" t="s">
        <v>117</v>
      </c>
      <c r="I98" s="130">
        <f>IF(A1&gt;67,0,INDEX('[1]Transportation Per Student'!J$1:J$65536,MATCH(A1,'[1]Transportation Per Student'!B$1:B$65536)))</f>
        <v>1870</v>
      </c>
      <c r="J98" s="62">
        <f>ROUND(I98*E98,2)</f>
        <v>0</v>
      </c>
      <c r="K98" s="70"/>
      <c r="L98" s="70"/>
      <c r="M98" s="71"/>
      <c r="N98" s="70"/>
      <c r="O98" s="70"/>
      <c r="P98" s="70"/>
      <c r="Q98" s="70"/>
      <c r="R98" s="222"/>
      <c r="S98" s="222"/>
      <c r="T98" s="275"/>
      <c r="U98" s="275"/>
      <c r="V98" s="275"/>
      <c r="W98" s="221"/>
      <c r="X98" s="212"/>
      <c r="Y98" s="271"/>
    </row>
    <row r="99" spans="1:25" ht="27.75" customHeight="1" x14ac:dyDescent="0.25">
      <c r="A99" s="33"/>
      <c r="B99" s="33"/>
      <c r="C99" s="110"/>
      <c r="D99" s="110"/>
      <c r="E99" s="124"/>
      <c r="F99" s="124"/>
      <c r="G99" s="124"/>
      <c r="H99" s="85"/>
      <c r="I99" s="86"/>
      <c r="J99" s="30"/>
      <c r="K99" s="70"/>
      <c r="L99" s="70"/>
      <c r="M99" s="71"/>
      <c r="N99" s="70"/>
      <c r="O99" s="70"/>
      <c r="P99" s="70"/>
      <c r="Q99" s="70"/>
      <c r="R99" s="222"/>
      <c r="S99" s="222"/>
      <c r="T99" s="275"/>
      <c r="U99" s="275"/>
      <c r="V99" s="275"/>
      <c r="W99" s="221"/>
      <c r="X99" s="212"/>
      <c r="Y99" s="271"/>
    </row>
    <row r="100" spans="1:25" ht="14.25" customHeight="1" x14ac:dyDescent="0.25">
      <c r="A100" s="841" t="s">
        <v>119</v>
      </c>
      <c r="B100" s="841"/>
      <c r="C100" s="841"/>
      <c r="D100" s="841"/>
      <c r="E100" s="841"/>
      <c r="F100" s="37" t="s">
        <v>120</v>
      </c>
      <c r="G100" s="817"/>
      <c r="H100" s="817"/>
      <c r="I100" s="817"/>
      <c r="J100" s="817"/>
      <c r="K100" s="70"/>
      <c r="L100" s="70"/>
      <c r="M100" s="71"/>
      <c r="N100" s="70"/>
      <c r="O100" s="70"/>
      <c r="P100" s="70"/>
      <c r="Q100" s="70"/>
      <c r="R100" s="758" t="s">
        <v>178</v>
      </c>
      <c r="S100" s="758"/>
      <c r="T100" s="758"/>
      <c r="U100" s="173"/>
      <c r="V100" s="855"/>
      <c r="W100" s="855"/>
      <c r="X100" s="855"/>
      <c r="Y100" s="855"/>
    </row>
    <row r="101" spans="1:25" ht="53.25" customHeight="1" x14ac:dyDescent="0.25">
      <c r="A101" s="861" t="s">
        <v>121</v>
      </c>
      <c r="B101" s="861"/>
      <c r="C101" s="87"/>
      <c r="D101" s="916" t="s">
        <v>122</v>
      </c>
      <c r="E101" s="916"/>
      <c r="F101" s="916"/>
      <c r="G101" s="862" t="s">
        <v>123</v>
      </c>
      <c r="H101" s="862"/>
      <c r="I101" s="45" t="s">
        <v>124</v>
      </c>
      <c r="J101" s="87" t="s">
        <v>125</v>
      </c>
      <c r="K101" s="70"/>
      <c r="L101" s="70"/>
      <c r="M101" s="70"/>
      <c r="N101" s="70"/>
      <c r="O101" s="70"/>
      <c r="P101" s="70"/>
      <c r="Q101" s="70"/>
      <c r="R101" s="859" t="s">
        <v>121</v>
      </c>
      <c r="S101" s="859"/>
      <c r="T101" s="865" t="s">
        <v>122</v>
      </c>
      <c r="U101" s="865"/>
      <c r="V101" s="866" t="s">
        <v>123</v>
      </c>
      <c r="W101" s="866"/>
      <c r="X101" s="180" t="s">
        <v>124</v>
      </c>
      <c r="Y101" s="213" t="s">
        <v>125</v>
      </c>
    </row>
    <row r="102" spans="1:25" ht="16.5" customHeight="1" x14ac:dyDescent="0.25">
      <c r="A102" s="757" t="s">
        <v>126</v>
      </c>
      <c r="B102" s="757"/>
      <c r="C102" s="52"/>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52"/>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105"/>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37"/>
      <c r="D105" s="37"/>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92" t="s">
        <v>130</v>
      </c>
      <c r="G106" s="892"/>
      <c r="H106" s="892"/>
      <c r="I106" s="892"/>
      <c r="J106" s="93"/>
      <c r="K106" s="94"/>
      <c r="L106" s="94"/>
      <c r="M106" s="94"/>
      <c r="N106" s="94"/>
      <c r="O106" s="94"/>
      <c r="P106" s="94"/>
      <c r="Q106" s="94"/>
      <c r="R106" s="758" t="s">
        <v>179</v>
      </c>
      <c r="S106" s="758"/>
      <c r="T106" s="758"/>
      <c r="U106" s="218"/>
      <c r="V106" s="856"/>
      <c r="W106" s="856"/>
      <c r="X106" s="856"/>
      <c r="Y106" s="157">
        <f>IF('[1]All charter school calculator'!X109=1,'[1]All charter school calculator'!Y104,0)</f>
        <v>0</v>
      </c>
    </row>
    <row r="107" spans="1:25" ht="30" customHeight="1" thickBot="1" x14ac:dyDescent="0.3">
      <c r="A107" s="839" t="s">
        <v>125</v>
      </c>
      <c r="B107" s="839"/>
      <c r="C107" s="839"/>
      <c r="D107" s="839"/>
      <c r="E107" s="839"/>
      <c r="F107" s="839"/>
      <c r="G107" s="839"/>
      <c r="H107" s="839"/>
      <c r="I107" s="839"/>
      <c r="J107" s="95">
        <f>SUM(J106,J105,J98,J97,J93,J86,J85,J71,J70,J68,J33,J72,J50,J87,J84)</f>
        <v>312937.08</v>
      </c>
      <c r="R107" s="854" t="s">
        <v>125</v>
      </c>
      <c r="S107" s="854"/>
      <c r="T107" s="854"/>
      <c r="U107" s="854"/>
      <c r="V107" s="854"/>
      <c r="W107" s="854"/>
      <c r="X107" s="854"/>
      <c r="Y107" s="219">
        <f>SUM(Y106,Y105,Y97,Y96,Y93,Y86,Y85,Y84,Y70,Y69,Y67,Y33,Y71,Y50,Y87,Y83)</f>
        <v>0</v>
      </c>
    </row>
    <row r="108" spans="1:25" ht="15.75" customHeight="1" thickTop="1" x14ac:dyDescent="0.25">
      <c r="A108" s="817"/>
      <c r="B108" s="817"/>
      <c r="C108" s="817"/>
      <c r="D108" s="817"/>
      <c r="E108" s="817"/>
      <c r="F108" s="817"/>
      <c r="G108" s="817"/>
      <c r="H108" s="817"/>
      <c r="I108" s="817"/>
      <c r="J108" s="817"/>
      <c r="R108" s="855"/>
      <c r="S108" s="855"/>
      <c r="T108" s="855"/>
      <c r="U108" s="855"/>
      <c r="V108" s="855"/>
      <c r="W108" s="855"/>
      <c r="X108" s="855"/>
      <c r="Y108" s="855"/>
    </row>
    <row r="109" spans="1:25" ht="17.25" customHeight="1" thickBot="1" x14ac:dyDescent="0.3">
      <c r="A109" s="841" t="s">
        <v>131</v>
      </c>
      <c r="B109" s="841"/>
      <c r="C109" s="841"/>
      <c r="D109" s="841"/>
      <c r="E109" s="841"/>
      <c r="F109" s="817"/>
      <c r="G109" s="817"/>
      <c r="H109" s="817"/>
      <c r="I109" s="2" t="s">
        <v>132</v>
      </c>
      <c r="J109" s="96">
        <f>J107-J38</f>
        <v>298165.98000000004</v>
      </c>
      <c r="R109" s="170" t="s">
        <v>180</v>
      </c>
      <c r="S109" s="170"/>
      <c r="T109" s="170"/>
      <c r="U109" s="170"/>
      <c r="V109" s="170"/>
      <c r="W109" s="170"/>
      <c r="X109" s="170"/>
      <c r="Y109" s="220">
        <f>Y107-Y38</f>
        <v>0</v>
      </c>
    </row>
    <row r="110" spans="1:25" ht="18.75" customHeight="1" thickTop="1" x14ac:dyDescent="0.25">
      <c r="A110" s="841" t="s">
        <v>133</v>
      </c>
      <c r="B110" s="841"/>
      <c r="C110" s="841"/>
      <c r="D110" s="841"/>
      <c r="E110" s="841"/>
      <c r="F110" s="841"/>
      <c r="G110" s="841"/>
      <c r="H110" s="841"/>
      <c r="I110" s="42" t="s">
        <v>134</v>
      </c>
      <c r="J110" s="72"/>
      <c r="R110" s="851" t="s">
        <v>136</v>
      </c>
      <c r="S110" s="851"/>
      <c r="T110" s="851"/>
      <c r="U110" s="851"/>
      <c r="V110" s="851"/>
      <c r="W110" s="851"/>
      <c r="X110" s="851"/>
      <c r="Y110" s="851"/>
    </row>
    <row r="111" spans="1:25" ht="15.75" customHeight="1" x14ac:dyDescent="0.25">
      <c r="A111" s="848" t="s">
        <v>135</v>
      </c>
      <c r="B111" s="848"/>
      <c r="C111" s="848"/>
      <c r="D111" s="848"/>
      <c r="E111" s="848"/>
      <c r="F111" s="848"/>
      <c r="G111" s="848"/>
      <c r="H111" s="848"/>
      <c r="I111" s="97"/>
      <c r="J111" s="46">
        <f>Y109</f>
        <v>0</v>
      </c>
      <c r="R111" s="850" t="s">
        <v>181</v>
      </c>
      <c r="S111" s="850"/>
      <c r="T111" s="850"/>
      <c r="U111" s="850"/>
      <c r="V111" s="850"/>
      <c r="W111" s="850"/>
      <c r="X111" s="850"/>
      <c r="Y111" s="850"/>
    </row>
    <row r="112" spans="1:25" ht="15.75" customHeight="1" x14ac:dyDescent="0.25">
      <c r="A112" s="51"/>
      <c r="B112" s="51"/>
      <c r="C112" s="51"/>
      <c r="D112" s="51"/>
      <c r="E112" s="51"/>
      <c r="F112" s="51"/>
      <c r="G112" s="51"/>
      <c r="H112" s="601"/>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16">
        <v>0</v>
      </c>
      <c r="I114" s="717">
        <f>IF(I111=1,J111,J109)</f>
        <v>298165.98000000004</v>
      </c>
      <c r="J114" s="718">
        <f>ROUND(IF(E28=0,0,IF(E28&gt;250,-(((250/E28)*I114)*IF(H114="H",0.02,0.05)),IF(H114="H",-0.02*I114,-0.05*I114))),2)</f>
        <v>-14908.3</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298028.78000000003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9"/>
      <c r="I118" s="720"/>
      <c r="J118" s="725">
        <f>-'Cumulative Payments'!R70</f>
        <v>-49322.14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248706.64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24870.66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98" t="s">
        <v>146</v>
      </c>
      <c r="B138" s="98"/>
      <c r="C138" s="98"/>
      <c r="D138" s="98"/>
      <c r="E138" s="98"/>
      <c r="F138" s="98"/>
      <c r="G138" s="98"/>
      <c r="H138" s="98"/>
      <c r="I138" s="98"/>
      <c r="J138" s="98"/>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0">
    <mergeCell ref="T41:U41"/>
    <mergeCell ref="D89:F89"/>
    <mergeCell ref="D90:F90"/>
    <mergeCell ref="D91:F91"/>
    <mergeCell ref="D92:F92"/>
    <mergeCell ref="D101:F101"/>
    <mergeCell ref="A147:J147"/>
    <mergeCell ref="E96:G96"/>
    <mergeCell ref="S1:Y1"/>
    <mergeCell ref="R2:Y2"/>
    <mergeCell ref="R3:Y3"/>
    <mergeCell ref="R4:S4"/>
    <mergeCell ref="T4:U4"/>
    <mergeCell ref="R5:Y5"/>
    <mergeCell ref="R6:S6"/>
    <mergeCell ref="T6:U6"/>
    <mergeCell ref="V6:W6"/>
    <mergeCell ref="X6:Y6"/>
    <mergeCell ref="V9:W9"/>
    <mergeCell ref="R10:S10"/>
    <mergeCell ref="T10:U10"/>
    <mergeCell ref="V10:W10"/>
    <mergeCell ref="R11:S11"/>
    <mergeCell ref="T11:U11"/>
    <mergeCell ref="V11:W11"/>
    <mergeCell ref="R12:S12"/>
    <mergeCell ref="T12:U12"/>
    <mergeCell ref="V12:W12"/>
    <mergeCell ref="R13:S13"/>
    <mergeCell ref="T13:U13"/>
    <mergeCell ref="A141:J141"/>
    <mergeCell ref="A142:J142"/>
    <mergeCell ref="A143:J143"/>
    <mergeCell ref="A137:J137"/>
    <mergeCell ref="A139:J139"/>
    <mergeCell ref="A140:J140"/>
    <mergeCell ref="V19:W19"/>
    <mergeCell ref="R20:S20"/>
    <mergeCell ref="T20:U20"/>
    <mergeCell ref="V20:W20"/>
    <mergeCell ref="R21:S21"/>
    <mergeCell ref="T21:U21"/>
    <mergeCell ref="V21:W21"/>
    <mergeCell ref="R22:S22"/>
    <mergeCell ref="T22:U22"/>
    <mergeCell ref="V22:W22"/>
    <mergeCell ref="R23:S23"/>
    <mergeCell ref="T23:U23"/>
    <mergeCell ref="A144:J144"/>
    <mergeCell ref="A145:J145"/>
    <mergeCell ref="A146:J146"/>
    <mergeCell ref="V13:W13"/>
    <mergeCell ref="R14:S14"/>
    <mergeCell ref="T14:U14"/>
    <mergeCell ref="V14:W14"/>
    <mergeCell ref="R15:S15"/>
    <mergeCell ref="T15:U15"/>
    <mergeCell ref="V15:W15"/>
    <mergeCell ref="R16:S16"/>
    <mergeCell ref="T16:U16"/>
    <mergeCell ref="V16:W16"/>
    <mergeCell ref="R17:S17"/>
    <mergeCell ref="T17:U17"/>
    <mergeCell ref="V17:W17"/>
    <mergeCell ref="R18:S18"/>
    <mergeCell ref="T18:U18"/>
    <mergeCell ref="V18:W18"/>
    <mergeCell ref="R19:S19"/>
    <mergeCell ref="T19:U19"/>
    <mergeCell ref="A134:J134"/>
    <mergeCell ref="A135:J135"/>
    <mergeCell ref="A136:J136"/>
    <mergeCell ref="V23:W23"/>
    <mergeCell ref="R24:S24"/>
    <mergeCell ref="T24:U24"/>
    <mergeCell ref="V24:W24"/>
    <mergeCell ref="R25:S25"/>
    <mergeCell ref="T25:U25"/>
    <mergeCell ref="A128:J128"/>
    <mergeCell ref="A129:J129"/>
    <mergeCell ref="A130:J130"/>
    <mergeCell ref="F109:H109"/>
    <mergeCell ref="A110:H110"/>
    <mergeCell ref="A111:H111"/>
    <mergeCell ref="R35:U35"/>
    <mergeCell ref="R36:T36"/>
    <mergeCell ref="R37:T37"/>
    <mergeCell ref="R38:T38"/>
    <mergeCell ref="R40:S40"/>
    <mergeCell ref="T40:U40"/>
    <mergeCell ref="R41:S49"/>
    <mergeCell ref="T42:U42"/>
    <mergeCell ref="T43:U43"/>
    <mergeCell ref="T44:U44"/>
    <mergeCell ref="T45:U45"/>
    <mergeCell ref="T46:U46"/>
    <mergeCell ref="A131:J131"/>
    <mergeCell ref="A132:J132"/>
    <mergeCell ref="A133:J133"/>
    <mergeCell ref="V25:W25"/>
    <mergeCell ref="R26:S26"/>
    <mergeCell ref="T26:U26"/>
    <mergeCell ref="V26:W26"/>
    <mergeCell ref="R27:S27"/>
    <mergeCell ref="T27:U27"/>
    <mergeCell ref="V27:W27"/>
    <mergeCell ref="R28:S28"/>
    <mergeCell ref="T28:U28"/>
    <mergeCell ref="V28:W28"/>
    <mergeCell ref="R29:X29"/>
    <mergeCell ref="T30:X30"/>
    <mergeCell ref="R31:S31"/>
    <mergeCell ref="T31:X31"/>
    <mergeCell ref="R32:U32"/>
    <mergeCell ref="W32:X32"/>
    <mergeCell ref="R33:U33"/>
    <mergeCell ref="W33:X33"/>
    <mergeCell ref="A107:I107"/>
    <mergeCell ref="A108:J108"/>
    <mergeCell ref="A109:E109"/>
    <mergeCell ref="T47:U47"/>
    <mergeCell ref="T48:U48"/>
    <mergeCell ref="T49:U49"/>
    <mergeCell ref="R50:S50"/>
    <mergeCell ref="T50:U50"/>
    <mergeCell ref="A104:B104"/>
    <mergeCell ref="G104:H104"/>
    <mergeCell ref="A105:B105"/>
    <mergeCell ref="A106:E106"/>
    <mergeCell ref="G106:I106"/>
    <mergeCell ref="R57:Y57"/>
    <mergeCell ref="R58:S58"/>
    <mergeCell ref="V58:W58"/>
    <mergeCell ref="X58:Y58"/>
    <mergeCell ref="X59:Y59"/>
    <mergeCell ref="R60:Y60"/>
    <mergeCell ref="R61:S61"/>
    <mergeCell ref="V61:W61"/>
    <mergeCell ref="X61:Y61"/>
    <mergeCell ref="A102:B102"/>
    <mergeCell ref="G102:H102"/>
    <mergeCell ref="A103:B103"/>
    <mergeCell ref="G103:H103"/>
    <mergeCell ref="X62:Y62"/>
    <mergeCell ref="V50:X50"/>
    <mergeCell ref="R51:Y51"/>
    <mergeCell ref="R52:S52"/>
    <mergeCell ref="X52:Y52"/>
    <mergeCell ref="X53:Y53"/>
    <mergeCell ref="R54:Y54"/>
    <mergeCell ref="R55:S55"/>
    <mergeCell ref="X55:Y55"/>
    <mergeCell ref="X56:Y56"/>
    <mergeCell ref="R63:Y63"/>
    <mergeCell ref="R64:S64"/>
    <mergeCell ref="V64:W64"/>
    <mergeCell ref="X64:Y64"/>
    <mergeCell ref="X65:Y65"/>
    <mergeCell ref="R67:T67"/>
    <mergeCell ref="R68:S68"/>
    <mergeCell ref="R69:T69"/>
    <mergeCell ref="R70:T70"/>
    <mergeCell ref="R73:S73"/>
    <mergeCell ref="T73:X73"/>
    <mergeCell ref="R74:S74"/>
    <mergeCell ref="R75:S75"/>
    <mergeCell ref="R76:S76"/>
    <mergeCell ref="R78:S78"/>
    <mergeCell ref="R79:S79"/>
    <mergeCell ref="R83:S83"/>
    <mergeCell ref="A98:B98"/>
    <mergeCell ref="T92:U92"/>
    <mergeCell ref="T93:X93"/>
    <mergeCell ref="R94:Y94"/>
    <mergeCell ref="R95:T95"/>
    <mergeCell ref="V95:Y95"/>
    <mergeCell ref="R96:S96"/>
    <mergeCell ref="T96:V96"/>
    <mergeCell ref="R97:S97"/>
    <mergeCell ref="R84:T84"/>
    <mergeCell ref="R85:T85"/>
    <mergeCell ref="R86:T86"/>
    <mergeCell ref="R88:Y88"/>
    <mergeCell ref="R89:S89"/>
    <mergeCell ref="T89:U89"/>
    <mergeCell ref="V89:Y89"/>
    <mergeCell ref="A85:E85"/>
    <mergeCell ref="A86:E86"/>
    <mergeCell ref="R102:S102"/>
    <mergeCell ref="T102:U102"/>
    <mergeCell ref="V102:W102"/>
    <mergeCell ref="A87:E87"/>
    <mergeCell ref="A88:J88"/>
    <mergeCell ref="R101:S101"/>
    <mergeCell ref="T101:U101"/>
    <mergeCell ref="V101:W101"/>
    <mergeCell ref="E93:I93"/>
    <mergeCell ref="A94:J94"/>
    <mergeCell ref="A95:E95"/>
    <mergeCell ref="G95:J95"/>
    <mergeCell ref="T90:U90"/>
    <mergeCell ref="T91:U91"/>
    <mergeCell ref="A97:B97"/>
    <mergeCell ref="E97:G97"/>
    <mergeCell ref="T97:V97"/>
    <mergeCell ref="R100:T100"/>
    <mergeCell ref="V100:Y100"/>
    <mergeCell ref="E98:G98"/>
    <mergeCell ref="A100:E100"/>
    <mergeCell ref="G100:J100"/>
    <mergeCell ref="R106:T106"/>
    <mergeCell ref="V106:X106"/>
    <mergeCell ref="A65:B65"/>
    <mergeCell ref="I66:J66"/>
    <mergeCell ref="A68:E68"/>
    <mergeCell ref="A69:B69"/>
    <mergeCell ref="R104:S104"/>
    <mergeCell ref="T104:U104"/>
    <mergeCell ref="V104:W104"/>
    <mergeCell ref="A70:E70"/>
    <mergeCell ref="A71:E71"/>
    <mergeCell ref="A74:B74"/>
    <mergeCell ref="E74:I74"/>
    <mergeCell ref="A75:B75"/>
    <mergeCell ref="A76:B76"/>
    <mergeCell ref="R103:S103"/>
    <mergeCell ref="A101:B101"/>
    <mergeCell ref="G101:H101"/>
    <mergeCell ref="T103:U103"/>
    <mergeCell ref="V103:W103"/>
    <mergeCell ref="A77:B77"/>
    <mergeCell ref="A79:B79"/>
    <mergeCell ref="A80:B80"/>
    <mergeCell ref="A84:B84"/>
    <mergeCell ref="A53:B53"/>
    <mergeCell ref="I54:J54"/>
    <mergeCell ref="A55:J55"/>
    <mergeCell ref="A56:B56"/>
    <mergeCell ref="R111:Y111"/>
    <mergeCell ref="R112:Y112"/>
    <mergeCell ref="E48:F48"/>
    <mergeCell ref="E49:F49"/>
    <mergeCell ref="A50:B50"/>
    <mergeCell ref="E50:F50"/>
    <mergeCell ref="G50:I50"/>
    <mergeCell ref="A52:J52"/>
    <mergeCell ref="I57:J57"/>
    <mergeCell ref="A58:J58"/>
    <mergeCell ref="A59:B59"/>
    <mergeCell ref="I60:J60"/>
    <mergeCell ref="R107:X107"/>
    <mergeCell ref="R108:Y108"/>
    <mergeCell ref="R110:Y110"/>
    <mergeCell ref="A61:J61"/>
    <mergeCell ref="A62:B62"/>
    <mergeCell ref="I63:J63"/>
    <mergeCell ref="A64:J64"/>
    <mergeCell ref="R105:S105"/>
    <mergeCell ref="A40:B40"/>
    <mergeCell ref="E40:F40"/>
    <mergeCell ref="A41:B49"/>
    <mergeCell ref="E41:F41"/>
    <mergeCell ref="E42:F42"/>
    <mergeCell ref="E43:F43"/>
    <mergeCell ref="E44:F44"/>
    <mergeCell ref="E45:F45"/>
    <mergeCell ref="E46:F46"/>
    <mergeCell ref="E47:F47"/>
    <mergeCell ref="A33:F33"/>
    <mergeCell ref="H33:I33"/>
    <mergeCell ref="A35:F35"/>
    <mergeCell ref="A36:E36"/>
    <mergeCell ref="A37:E37"/>
    <mergeCell ref="A38:E38"/>
    <mergeCell ref="A29:I29"/>
    <mergeCell ref="A30:B30"/>
    <mergeCell ref="E30:I30"/>
    <mergeCell ref="A31:B31"/>
    <mergeCell ref="A32:F32"/>
    <mergeCell ref="H32:I32"/>
    <mergeCell ref="A27:B27"/>
    <mergeCell ref="E27:F27"/>
    <mergeCell ref="G27:H27"/>
    <mergeCell ref="A28:B28"/>
    <mergeCell ref="E28:F28"/>
    <mergeCell ref="G28:H28"/>
    <mergeCell ref="A25:B25"/>
    <mergeCell ref="E25:F25"/>
    <mergeCell ref="G25:H25"/>
    <mergeCell ref="A26:B26"/>
    <mergeCell ref="E26:F26"/>
    <mergeCell ref="G26:H26"/>
    <mergeCell ref="A23:B23"/>
    <mergeCell ref="E23:F23"/>
    <mergeCell ref="G23:H23"/>
    <mergeCell ref="A24:B24"/>
    <mergeCell ref="E24:F24"/>
    <mergeCell ref="G24:H24"/>
    <mergeCell ref="A21:B21"/>
    <mergeCell ref="E21:F21"/>
    <mergeCell ref="G21:H21"/>
    <mergeCell ref="A22:B22"/>
    <mergeCell ref="E22:F22"/>
    <mergeCell ref="G22:H22"/>
    <mergeCell ref="A19:B19"/>
    <mergeCell ref="E19:F19"/>
    <mergeCell ref="G19:H19"/>
    <mergeCell ref="A20:B20"/>
    <mergeCell ref="E20:F20"/>
    <mergeCell ref="G20:H20"/>
    <mergeCell ref="A17:B17"/>
    <mergeCell ref="E17:F17"/>
    <mergeCell ref="G17:H17"/>
    <mergeCell ref="A18:B18"/>
    <mergeCell ref="E18:F18"/>
    <mergeCell ref="G18:H18"/>
    <mergeCell ref="G15:H15"/>
    <mergeCell ref="A16:B16"/>
    <mergeCell ref="E16:F16"/>
    <mergeCell ref="G16:H16"/>
    <mergeCell ref="A13:B13"/>
    <mergeCell ref="E13:F13"/>
    <mergeCell ref="G13:H13"/>
    <mergeCell ref="A14:B14"/>
    <mergeCell ref="E14:F14"/>
    <mergeCell ref="G14:H14"/>
    <mergeCell ref="G53:H53"/>
    <mergeCell ref="G56:H56"/>
    <mergeCell ref="F59:H59"/>
    <mergeCell ref="F62:H62"/>
    <mergeCell ref="D65:H65"/>
    <mergeCell ref="B1:J1"/>
    <mergeCell ref="A3:J3"/>
    <mergeCell ref="A4:B4"/>
    <mergeCell ref="A5:J5"/>
    <mergeCell ref="A11:B11"/>
    <mergeCell ref="E11:F11"/>
    <mergeCell ref="G11:H11"/>
    <mergeCell ref="A12:B12"/>
    <mergeCell ref="E12:F12"/>
    <mergeCell ref="G12:H12"/>
    <mergeCell ref="A6:B6"/>
    <mergeCell ref="E6:F6"/>
    <mergeCell ref="G6:H6"/>
    <mergeCell ref="G9:H9"/>
    <mergeCell ref="A10:B10"/>
    <mergeCell ref="E10:F10"/>
    <mergeCell ref="G10:H10"/>
    <mergeCell ref="A15:B15"/>
    <mergeCell ref="E15:F15"/>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31E4-6F7C-49D1-9ABE-ABA0348B9871}">
  <dimension ref="A1:Z207"/>
  <sheetViews>
    <sheetView topLeftCell="A61" workbookViewId="0">
      <selection activeCell="L121" sqref="L121"/>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437</v>
      </c>
      <c r="B2" s="102"/>
      <c r="C2" s="102"/>
      <c r="D2" s="102"/>
      <c r="E2" s="100"/>
      <c r="F2" s="100"/>
      <c r="G2" s="100"/>
      <c r="H2" s="100"/>
      <c r="I2" s="100"/>
      <c r="J2" s="100"/>
      <c r="K2" s="6"/>
      <c r="L2" s="6"/>
      <c r="M2" s="6"/>
      <c r="N2" s="6"/>
      <c r="O2" s="6"/>
      <c r="P2" s="6"/>
      <c r="Q2" s="6"/>
      <c r="R2" s="920" t="str">
        <f>Revenue_Estimate_Worksheet_for___________Charter_School</f>
        <v>Revenue Estimate Worksheet: The Learning Center Highschool 0100</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Second'!$C$1:$C$65536,MATCH('0100'!$A$1,'[1]Detail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Second'!$D$1:$D$65536,MATCH('0100'!$A$1,'[1]Detail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1</v>
      </c>
      <c r="D17" s="414">
        <v>0</v>
      </c>
      <c r="E17" s="832">
        <f t="shared" si="0"/>
        <v>2</v>
      </c>
      <c r="F17" s="832"/>
      <c r="G17" s="833">
        <v>0.97199999999999998</v>
      </c>
      <c r="H17" s="833"/>
      <c r="I17" s="577">
        <f t="shared" si="2"/>
        <v>1.944</v>
      </c>
      <c r="J17" s="578">
        <f t="shared" si="1"/>
        <v>10815.11</v>
      </c>
      <c r="M17" s="2"/>
      <c r="R17" s="756" t="s">
        <v>25</v>
      </c>
      <c r="S17" s="756"/>
      <c r="T17" s="897">
        <f t="shared" si="3"/>
        <v>2</v>
      </c>
      <c r="U17" s="897"/>
      <c r="V17" s="896">
        <v>1</v>
      </c>
      <c r="W17" s="896"/>
      <c r="X17" s="156">
        <f t="shared" si="4"/>
        <v>2</v>
      </c>
      <c r="Y17" s="266">
        <f t="shared" si="6"/>
        <v>11126.65</v>
      </c>
    </row>
    <row r="18" spans="1:25" x14ac:dyDescent="0.25">
      <c r="A18" s="757" t="s">
        <v>26</v>
      </c>
      <c r="B18" s="757"/>
      <c r="C18" s="414">
        <v>3.5</v>
      </c>
      <c r="D18" s="414">
        <v>0</v>
      </c>
      <c r="E18" s="832">
        <f t="shared" si="0"/>
        <v>7</v>
      </c>
      <c r="F18" s="832"/>
      <c r="G18" s="833">
        <v>3.609</v>
      </c>
      <c r="H18" s="833"/>
      <c r="I18" s="577">
        <f t="shared" si="2"/>
        <v>25.263000000000002</v>
      </c>
      <c r="J18" s="578">
        <f t="shared" si="1"/>
        <v>140546.34</v>
      </c>
      <c r="M18" s="2"/>
      <c r="R18" s="756" t="s">
        <v>26</v>
      </c>
      <c r="S18" s="756"/>
      <c r="T18" s="897">
        <f t="shared" si="3"/>
        <v>7</v>
      </c>
      <c r="U18" s="897"/>
      <c r="V18" s="896">
        <v>1</v>
      </c>
      <c r="W18" s="896"/>
      <c r="X18" s="156">
        <f t="shared" si="4"/>
        <v>7</v>
      </c>
      <c r="Y18" s="266">
        <f t="shared" si="6"/>
        <v>38943.29</v>
      </c>
    </row>
    <row r="19" spans="1:25" x14ac:dyDescent="0.25">
      <c r="A19" s="757" t="s">
        <v>27</v>
      </c>
      <c r="B19" s="757"/>
      <c r="C19" s="414">
        <v>1</v>
      </c>
      <c r="D19" s="414">
        <v>0</v>
      </c>
      <c r="E19" s="832">
        <f t="shared" si="0"/>
        <v>2</v>
      </c>
      <c r="F19" s="832"/>
      <c r="G19" s="833">
        <v>3.609</v>
      </c>
      <c r="H19" s="833"/>
      <c r="I19" s="577">
        <f t="shared" si="2"/>
        <v>7.218</v>
      </c>
      <c r="J19" s="578">
        <f t="shared" si="1"/>
        <v>40156.1</v>
      </c>
      <c r="M19" s="2"/>
      <c r="R19" s="756" t="s">
        <v>27</v>
      </c>
      <c r="S19" s="756"/>
      <c r="T19" s="897">
        <f t="shared" si="3"/>
        <v>2</v>
      </c>
      <c r="U19" s="897"/>
      <c r="V19" s="896">
        <v>1</v>
      </c>
      <c r="W19" s="896"/>
      <c r="X19" s="156">
        <f t="shared" si="4"/>
        <v>2</v>
      </c>
      <c r="Y19" s="266">
        <f t="shared" si="6"/>
        <v>11126.65</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712">
        <f>SUM(C12:C27)</f>
        <v>5.5</v>
      </c>
      <c r="D28" s="126">
        <f>SUM(D12:D27)</f>
        <v>0</v>
      </c>
      <c r="E28" s="837">
        <f>SUM(E12:E27)</f>
        <v>11</v>
      </c>
      <c r="F28" s="837"/>
      <c r="G28" s="838"/>
      <c r="H28" s="838"/>
      <c r="I28" s="23">
        <f>SUM(I12:I27)</f>
        <v>34.424999999999997</v>
      </c>
      <c r="J28" s="127">
        <f>SUM(J12:J27)</f>
        <v>191517.55000000002</v>
      </c>
      <c r="M28" s="2"/>
      <c r="R28" s="899" t="s">
        <v>36</v>
      </c>
      <c r="S28" s="899"/>
      <c r="T28" s="900">
        <f>SUM(T12:T27)</f>
        <v>11</v>
      </c>
      <c r="U28" s="900"/>
      <c r="V28" s="901"/>
      <c r="W28" s="901"/>
      <c r="X28" s="158">
        <f>SUM(X12:X27)</f>
        <v>11</v>
      </c>
      <c r="Y28" s="266">
        <f>SUM(Y12:Y27)</f>
        <v>61196.590000000004</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34.424999999999997</v>
      </c>
      <c r="H33" s="838" t="s">
        <v>45</v>
      </c>
      <c r="I33" s="838"/>
      <c r="J33" s="32">
        <f>SUM(J32,J28)</f>
        <v>191517.55000000002</v>
      </c>
      <c r="M33" s="2"/>
      <c r="R33" s="854" t="s">
        <v>44</v>
      </c>
      <c r="S33" s="854"/>
      <c r="T33" s="854"/>
      <c r="U33" s="854"/>
      <c r="V33" s="164">
        <f>V32+X28</f>
        <v>11</v>
      </c>
      <c r="W33" s="901" t="s">
        <v>45</v>
      </c>
      <c r="X33" s="901"/>
      <c r="Y33" s="165">
        <f>SUM(Y32,Y28)</f>
        <v>61196.590000000004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191517.55</v>
      </c>
      <c r="H36" s="223" t="s">
        <v>49</v>
      </c>
      <c r="I36" s="38">
        <v>6.6699999999999995E-2</v>
      </c>
      <c r="J36" s="131">
        <f>ROUND(G36*I36,2)</f>
        <v>12774.22</v>
      </c>
      <c r="K36" s="39"/>
      <c r="L36" s="233"/>
      <c r="M36" s="233"/>
      <c r="N36" s="233"/>
      <c r="O36" s="31"/>
      <c r="P36" s="232"/>
      <c r="Q36" s="232"/>
      <c r="R36" s="756" t="s">
        <v>47</v>
      </c>
      <c r="S36" s="756"/>
      <c r="T36" s="756"/>
      <c r="U36" s="253"/>
      <c r="V36" s="172">
        <v>61196.59</v>
      </c>
      <c r="W36" s="239" t="s">
        <v>49</v>
      </c>
      <c r="X36" s="174">
        <v>6.6699999999999995E-2</v>
      </c>
      <c r="Y36" s="266">
        <f>ROUND(V36*X36,2)</f>
        <v>4081.81</v>
      </c>
    </row>
    <row r="37" spans="1:25" ht="20.25" customHeight="1" x14ac:dyDescent="0.25">
      <c r="A37" s="757" t="s">
        <v>50</v>
      </c>
      <c r="B37" s="757"/>
      <c r="C37" s="757"/>
      <c r="D37" s="757"/>
      <c r="E37" s="757"/>
      <c r="F37" s="248" t="s">
        <v>48</v>
      </c>
      <c r="G37" s="132">
        <v>191517.55</v>
      </c>
      <c r="H37" s="223" t="s">
        <v>49</v>
      </c>
      <c r="I37" s="38">
        <v>5.4000000000000003E-3</v>
      </c>
      <c r="J37" s="131">
        <f>ROUND(G37*I37,2)</f>
        <v>1034.19</v>
      </c>
      <c r="K37" s="39"/>
      <c r="L37" s="233"/>
      <c r="M37" s="233"/>
      <c r="N37" s="233"/>
      <c r="O37" s="31"/>
      <c r="P37" s="232"/>
      <c r="Q37" s="232"/>
      <c r="R37" s="756" t="s">
        <v>50</v>
      </c>
      <c r="S37" s="756"/>
      <c r="T37" s="756"/>
      <c r="U37" s="253"/>
      <c r="V37" s="172">
        <v>61196.59</v>
      </c>
      <c r="W37" s="239" t="s">
        <v>49</v>
      </c>
      <c r="X37" s="174">
        <v>5.4000000000000003E-3</v>
      </c>
      <c r="Y37" s="266">
        <f>ROUND(V37*X37,2)</f>
        <v>330.46</v>
      </c>
    </row>
    <row r="38" spans="1:25" ht="20.25" customHeight="1" x14ac:dyDescent="0.25">
      <c r="A38" s="841" t="s">
        <v>51</v>
      </c>
      <c r="B38" s="841"/>
      <c r="C38" s="841"/>
      <c r="D38" s="841"/>
      <c r="E38" s="841"/>
      <c r="F38" s="248" t="s">
        <v>52</v>
      </c>
      <c r="G38" s="40"/>
      <c r="H38" s="223"/>
      <c r="I38" s="41"/>
      <c r="J38" s="131">
        <f>SUM(J36:J37)</f>
        <v>13808.41</v>
      </c>
      <c r="K38" s="39"/>
      <c r="L38" s="233"/>
      <c r="M38" s="233"/>
      <c r="N38" s="233"/>
      <c r="O38" s="31"/>
      <c r="P38" s="232"/>
      <c r="Q38" s="232"/>
      <c r="R38" s="758" t="s">
        <v>51</v>
      </c>
      <c r="S38" s="758"/>
      <c r="T38" s="758"/>
      <c r="U38" s="253" t="s">
        <v>52</v>
      </c>
      <c r="V38" s="175"/>
      <c r="W38" s="239"/>
      <c r="X38" s="176"/>
      <c r="Y38" s="157">
        <f>Y36+Y37</f>
        <v>4412.2699999999995</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707"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46">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1</v>
      </c>
      <c r="D47" s="414">
        <v>0</v>
      </c>
      <c r="E47" s="847">
        <f t="shared" si="7"/>
        <v>2</v>
      </c>
      <c r="F47" s="847"/>
      <c r="G47" s="47" t="s">
        <v>61</v>
      </c>
      <c r="H47" s="223">
        <v>251</v>
      </c>
      <c r="I47" s="136">
        <f>INDEX('[1]111-112-113 ADDITIONAL FUND'!J$1:J$65536,MATCH($A$1,'[1]111-112-113 ADDITIONAL FUND'!A$1:A$65536))</f>
        <v>835</v>
      </c>
      <c r="J47" s="46">
        <f t="shared" si="8"/>
        <v>1670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233">
        <f>SUM(C41:C49)</f>
        <v>1</v>
      </c>
      <c r="D50" s="233">
        <f>SUM(D41:D49)</f>
        <v>0</v>
      </c>
      <c r="E50" s="853">
        <f>SUM(E41:E49)</f>
        <v>2</v>
      </c>
      <c r="F50" s="853"/>
      <c r="G50" s="839" t="s">
        <v>63</v>
      </c>
      <c r="H50" s="839"/>
      <c r="I50" s="839"/>
      <c r="J50" s="276">
        <f>SUM(J41:J49)</f>
        <v>1670</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11</v>
      </c>
      <c r="U52" s="184" t="s">
        <v>66</v>
      </c>
      <c r="V52" s="185"/>
      <c r="W52" s="186" t="s">
        <v>67</v>
      </c>
      <c r="X52" s="884">
        <f>I53</f>
        <v>215320.92</v>
      </c>
      <c r="Y52" s="884"/>
    </row>
    <row r="53" spans="1:25" ht="16.5" customHeight="1" x14ac:dyDescent="0.25">
      <c r="A53" s="848" t="s">
        <v>65</v>
      </c>
      <c r="B53" s="848"/>
      <c r="C53" s="48">
        <f>E28</f>
        <v>11</v>
      </c>
      <c r="D53" s="49" t="s">
        <v>66</v>
      </c>
      <c r="G53" s="3"/>
      <c r="H53" s="50" t="s">
        <v>67</v>
      </c>
      <c r="I53" s="709">
        <f>INDEX('[1]Detail 2025-26 FEFP Second'!E$1:E$65536,MATCH(A1,'[1]Detail 2025-26 FEFP Second'!A$1:A$65536))</f>
        <v>215320.92</v>
      </c>
      <c r="J53" s="711"/>
      <c r="M53" s="2"/>
      <c r="R53" s="255"/>
      <c r="S53" s="243"/>
      <c r="T53" s="170"/>
      <c r="U53" s="170"/>
      <c r="V53" s="170"/>
      <c r="W53" s="189" t="s">
        <v>68</v>
      </c>
      <c r="X53" s="885">
        <f>ROUND(T52/X52,6)</f>
        <v>5.1E-5</v>
      </c>
      <c r="Y53" s="885"/>
    </row>
    <row r="54" spans="1:25" ht="22.5" customHeight="1" x14ac:dyDescent="0.25">
      <c r="A54" s="237"/>
      <c r="B54" s="230"/>
      <c r="C54" s="230"/>
      <c r="D54" s="230"/>
      <c r="H54" s="53" t="s">
        <v>68</v>
      </c>
      <c r="I54" s="849">
        <f>IFERROR(ROUND(C53/I53,6),0)</f>
        <v>5.1E-5</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11</v>
      </c>
      <c r="U55" s="184" t="s">
        <v>66</v>
      </c>
      <c r="V55" s="185"/>
      <c r="W55" s="186" t="s">
        <v>71</v>
      </c>
      <c r="X55" s="884">
        <f>I56</f>
        <v>229051.25000000003</v>
      </c>
      <c r="Y55" s="884"/>
    </row>
    <row r="56" spans="1:25" ht="16.5" customHeight="1" x14ac:dyDescent="0.25">
      <c r="A56" s="848" t="s">
        <v>70</v>
      </c>
      <c r="B56" s="848"/>
      <c r="C56" s="48">
        <f>G33</f>
        <v>34.424999999999997</v>
      </c>
      <c r="D56" s="49" t="s">
        <v>66</v>
      </c>
      <c r="G56" s="3"/>
      <c r="H56" s="50" t="s">
        <v>71</v>
      </c>
      <c r="I56" s="709">
        <f>INDEX('[1]Detail 2025-26 FEFP Second'!F$1:F$65536,MATCH(A1,'[1]Detail 2025-26 FEFP Second'!A$1:A$65536))</f>
        <v>229051.25000000003</v>
      </c>
      <c r="J56" s="711"/>
      <c r="M56" s="2"/>
      <c r="R56" s="255"/>
      <c r="S56" s="170"/>
      <c r="T56" s="170"/>
      <c r="U56" s="170"/>
      <c r="V56" s="170"/>
      <c r="W56" s="189" t="s">
        <v>68</v>
      </c>
      <c r="X56" s="885">
        <f>ROUND(T55/X55,6)</f>
        <v>4.8000000000000001E-5</v>
      </c>
      <c r="Y56" s="885"/>
    </row>
    <row r="57" spans="1:25" ht="18.75" customHeight="1" x14ac:dyDescent="0.25">
      <c r="A57" s="237"/>
      <c r="H57" s="53" t="s">
        <v>68</v>
      </c>
      <c r="I57" s="849">
        <f>IFERROR(ROUND(C56/I56,6),0)</f>
        <v>1.4999999999999999E-4</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11</v>
      </c>
      <c r="U58" s="184" t="s">
        <v>66</v>
      </c>
      <c r="V58" s="883" t="s">
        <v>74</v>
      </c>
      <c r="W58" s="883"/>
      <c r="X58" s="884">
        <f>I59</f>
        <v>186156.17</v>
      </c>
      <c r="Y58" s="884"/>
    </row>
    <row r="59" spans="1:25" ht="18.75" customHeight="1" x14ac:dyDescent="0.25">
      <c r="A59" s="848" t="s">
        <v>73</v>
      </c>
      <c r="B59" s="848"/>
      <c r="C59" s="48">
        <f>E28</f>
        <v>11</v>
      </c>
      <c r="D59" s="49" t="s">
        <v>66</v>
      </c>
      <c r="F59" s="812" t="s">
        <v>74</v>
      </c>
      <c r="G59" s="812"/>
      <c r="H59" s="812"/>
      <c r="I59" s="709">
        <f>INDEX('[1]Detail 2025-26 FEFP Second'!H$1:H$65536,MATCH(A1,'[1]Detail 2025-26 FEFP Second'!A$1:A$65536))</f>
        <v>186156.17</v>
      </c>
      <c r="J59" s="711"/>
      <c r="M59" s="2"/>
      <c r="R59" s="255"/>
      <c r="S59" s="170"/>
      <c r="T59" s="170"/>
      <c r="U59" s="170"/>
      <c r="V59" s="170"/>
      <c r="W59" s="189" t="s">
        <v>68</v>
      </c>
      <c r="X59" s="885">
        <f>ROUND(T58/X58,6)</f>
        <v>5.8999999999999998E-5</v>
      </c>
      <c r="Y59" s="885"/>
    </row>
    <row r="60" spans="1:25" ht="18" customHeight="1" x14ac:dyDescent="0.25">
      <c r="A60" s="237"/>
      <c r="H60" s="53" t="s">
        <v>68</v>
      </c>
      <c r="I60" s="849">
        <f>IFERROR(ROUND(C59/I59,6),0)</f>
        <v>5.8999999999999998E-5</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11</v>
      </c>
      <c r="U61" s="184" t="s">
        <v>66</v>
      </c>
      <c r="V61" s="883" t="s">
        <v>76</v>
      </c>
      <c r="W61" s="883"/>
      <c r="X61" s="884">
        <f>I62</f>
        <v>215016.58000000002</v>
      </c>
      <c r="Y61" s="884"/>
    </row>
    <row r="62" spans="1:25" ht="23.25" customHeight="1" x14ac:dyDescent="0.25">
      <c r="A62" s="848" t="s">
        <v>73</v>
      </c>
      <c r="B62" s="848"/>
      <c r="C62" s="48">
        <f>E28</f>
        <v>11</v>
      </c>
      <c r="D62" s="49" t="s">
        <v>66</v>
      </c>
      <c r="F62" s="812" t="s">
        <v>76</v>
      </c>
      <c r="G62" s="812"/>
      <c r="H62" s="812"/>
      <c r="I62" s="709">
        <f>INDEX('[1]Detail 2025-26 FEFP Second'!G$1:G$65536,MATCH(A1,'[1]Detail 2025-26 FEFP Second'!A$1:A$65536))</f>
        <v>215016.58000000002</v>
      </c>
      <c r="J62" s="711"/>
      <c r="M62" s="2"/>
      <c r="R62" s="255"/>
      <c r="S62" s="170"/>
      <c r="T62" s="170"/>
      <c r="U62" s="170"/>
      <c r="V62" s="170"/>
      <c r="W62" s="189" t="s">
        <v>68</v>
      </c>
      <c r="X62" s="885">
        <f>ROUND(T61/X61,6)</f>
        <v>5.1E-5</v>
      </c>
      <c r="Y62" s="885"/>
    </row>
    <row r="63" spans="1:25" ht="19.5" customHeight="1" x14ac:dyDescent="0.25">
      <c r="A63" s="237"/>
      <c r="H63" s="53" t="s">
        <v>68</v>
      </c>
      <c r="I63" s="849">
        <f>IFERROR(ROUND(C62/I62,6),0)</f>
        <v>5.1E-5</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11</v>
      </c>
      <c r="U64" s="184" t="s">
        <v>66</v>
      </c>
      <c r="V64" s="883" t="s">
        <v>165</v>
      </c>
      <c r="W64" s="883"/>
      <c r="X64" s="884">
        <f>I65</f>
        <v>185851.83000000002</v>
      </c>
      <c r="Y64" s="884"/>
    </row>
    <row r="65" spans="1:26" ht="22.5" customHeight="1" x14ac:dyDescent="0.25">
      <c r="A65" s="848" t="s">
        <v>73</v>
      </c>
      <c r="B65" s="848"/>
      <c r="C65" s="48">
        <f>E28</f>
        <v>11</v>
      </c>
      <c r="D65" s="934" t="s">
        <v>561</v>
      </c>
      <c r="E65" s="934"/>
      <c r="F65" s="934"/>
      <c r="G65" s="934"/>
      <c r="H65" s="934"/>
      <c r="I65" s="709">
        <f>INDEX('[1]Detail 2025-26 FEFP Second'!I$1:I$65536,MATCH(A1,'[1]Detail 2025-26 FEFP Second'!A$1:A$65536))</f>
        <v>185851.83000000002</v>
      </c>
      <c r="J65" s="711"/>
      <c r="M65" s="2"/>
      <c r="R65" s="190"/>
      <c r="S65" s="170"/>
      <c r="T65" s="170"/>
      <c r="U65" s="170"/>
      <c r="V65" s="170"/>
      <c r="W65" s="189" t="s">
        <v>68</v>
      </c>
      <c r="X65" s="885">
        <f>ROUND(T64/X64,6)</f>
        <v>5.8999999999999998E-5</v>
      </c>
      <c r="Y65" s="885"/>
    </row>
    <row r="66" spans="1:26" ht="19.5" customHeight="1" x14ac:dyDescent="0.25">
      <c r="A66" s="237"/>
      <c r="H66" s="53" t="s">
        <v>68</v>
      </c>
      <c r="I66" s="849">
        <f>IFERROR(ROUND(C65/I65,6),0)</f>
        <v>5.8999999999999998E-5</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5.1E-5</v>
      </c>
      <c r="Y67" s="271">
        <f>ROUND(V67*X67,2)</f>
        <v>2411.83</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5.1E-5</v>
      </c>
      <c r="J68" s="138">
        <f>ROUND(G68*I68,2)</f>
        <v>2411.83</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5.1E-5</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5.1E-5</v>
      </c>
      <c r="J70" s="138">
        <f>ROUND(G70*I70,2)</f>
        <v>0</v>
      </c>
      <c r="M70" s="2"/>
      <c r="R70" s="758" t="s">
        <v>167</v>
      </c>
      <c r="S70" s="758"/>
      <c r="T70" s="758"/>
      <c r="U70" s="253"/>
      <c r="V70" s="193">
        <f>G71</f>
        <v>19167881</v>
      </c>
      <c r="W70" s="239" t="s">
        <v>81</v>
      </c>
      <c r="X70" s="176">
        <f>X65</f>
        <v>5.8999999999999998E-5</v>
      </c>
      <c r="Y70" s="266">
        <f t="shared" si="11"/>
        <v>1130.9000000000001</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5.8999999999999998E-5</v>
      </c>
      <c r="J71" s="138">
        <f>ROUND(G71*I71,2)</f>
        <v>1130.9000000000001</v>
      </c>
      <c r="M71" s="2"/>
      <c r="R71" s="240" t="s">
        <v>168</v>
      </c>
      <c r="S71" s="240"/>
      <c r="T71" s="240"/>
      <c r="U71" s="253"/>
      <c r="V71" s="171">
        <f>G72</f>
        <v>11546889</v>
      </c>
      <c r="W71" s="239" t="s">
        <v>81</v>
      </c>
      <c r="X71" s="176">
        <f>X59</f>
        <v>5.8999999999999998E-5</v>
      </c>
      <c r="Y71" s="266">
        <f t="shared" si="11"/>
        <v>681.27</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5.8999999999999998E-5</v>
      </c>
      <c r="J72" s="138">
        <f>ROUND(G72*I72,2)</f>
        <v>681.27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1.4999999999999999E-4</v>
      </c>
      <c r="J85" s="138">
        <f>ROUND(G85*I85,2)</f>
        <v>40322.44</v>
      </c>
      <c r="K85" s="70"/>
      <c r="L85" s="70"/>
      <c r="M85" s="71"/>
      <c r="N85" s="70"/>
      <c r="O85" s="70"/>
      <c r="P85" s="70"/>
      <c r="Q85" s="70"/>
      <c r="R85" s="758" t="s">
        <v>172</v>
      </c>
      <c r="S85" s="758"/>
      <c r="T85" s="758"/>
      <c r="U85" s="253"/>
      <c r="V85" s="171">
        <f>G85</f>
        <v>268816278</v>
      </c>
      <c r="W85" s="239" t="s">
        <v>81</v>
      </c>
      <c r="X85" s="176">
        <f>X56</f>
        <v>4.8000000000000001E-5</v>
      </c>
      <c r="Y85" s="266">
        <f t="shared" ref="Y85:Y87" si="12">ROUND(V85*X85,2)</f>
        <v>12903.18</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1.4999999999999999E-4</v>
      </c>
      <c r="J86" s="138">
        <f>ROUND(G86*I86,2)</f>
        <v>0</v>
      </c>
      <c r="K86" s="70"/>
      <c r="L86" s="71"/>
      <c r="M86" s="76"/>
      <c r="N86" s="76"/>
      <c r="O86" s="76"/>
      <c r="P86" s="76"/>
      <c r="Q86" s="70"/>
      <c r="R86" s="758" t="s">
        <v>173</v>
      </c>
      <c r="S86" s="758"/>
      <c r="T86" s="758"/>
      <c r="U86" s="253"/>
      <c r="V86" s="203">
        <f>G86</f>
        <v>0</v>
      </c>
      <c r="W86" s="239" t="s">
        <v>81</v>
      </c>
      <c r="X86" s="176">
        <f>X56</f>
        <v>4.8000000000000001E-5</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5.1E-5</v>
      </c>
      <c r="J87" s="62">
        <f>ROUND(G87*I87,2)</f>
        <v>0</v>
      </c>
      <c r="K87" s="77"/>
      <c r="L87" s="70"/>
      <c r="M87" s="71"/>
      <c r="N87" s="70"/>
      <c r="O87" s="70"/>
      <c r="P87" s="70"/>
      <c r="Q87" s="70"/>
      <c r="R87" s="240" t="s">
        <v>174</v>
      </c>
      <c r="S87" s="240"/>
      <c r="T87" s="240"/>
      <c r="U87" s="253"/>
      <c r="V87" s="203">
        <f>G87</f>
        <v>0</v>
      </c>
      <c r="W87" s="239" t="s">
        <v>81</v>
      </c>
      <c r="X87" s="176">
        <f>X53</f>
        <v>5.1E-5</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25.263000000000002</v>
      </c>
      <c r="C90" s="245"/>
      <c r="D90" s="915">
        <f>I6</f>
        <v>1.0355000000000001</v>
      </c>
      <c r="E90" s="915"/>
      <c r="F90" s="915"/>
      <c r="G90" s="122">
        <f>'[1]Detail 2025-26 FEFP Second'!AB3</f>
        <v>958.42</v>
      </c>
      <c r="H90" s="47" t="s">
        <v>68</v>
      </c>
      <c r="I90" s="715">
        <f>ROUND(B90*D90*G90,2)</f>
        <v>25072.11</v>
      </c>
      <c r="J90" s="81"/>
      <c r="K90" s="70"/>
      <c r="L90" s="70"/>
      <c r="M90" s="71"/>
      <c r="N90" s="70"/>
      <c r="O90" s="70"/>
      <c r="P90" s="70"/>
      <c r="Q90" s="70"/>
      <c r="R90" s="238" t="s">
        <v>110</v>
      </c>
      <c r="S90" s="251">
        <f>X12+X13+X18+X21+X24</f>
        <v>7</v>
      </c>
      <c r="T90" s="870">
        <f>X6</f>
        <v>1.0355000000000001</v>
      </c>
      <c r="U90" s="870"/>
      <c r="V90" s="122">
        <f>G90</f>
        <v>958.42</v>
      </c>
      <c r="W90" s="182" t="s">
        <v>68</v>
      </c>
      <c r="X90" s="272">
        <f>ROUND(S90*T90*V90,2)</f>
        <v>6947.11</v>
      </c>
      <c r="Y90" s="205"/>
    </row>
    <row r="91" spans="1:26" ht="21" customHeight="1" x14ac:dyDescent="0.25">
      <c r="A91" s="82" t="s">
        <v>60</v>
      </c>
      <c r="B91" s="245">
        <f>I14+I15+I19+I22+I25</f>
        <v>7.218</v>
      </c>
      <c r="C91" s="245"/>
      <c r="D91" s="915">
        <f>I6</f>
        <v>1.0355000000000001</v>
      </c>
      <c r="E91" s="915"/>
      <c r="F91" s="915"/>
      <c r="G91" s="122">
        <f>'[1]Detail 2025-26 FEFP Second'!AC3</f>
        <v>915.09</v>
      </c>
      <c r="H91" s="47" t="s">
        <v>68</v>
      </c>
      <c r="I91" s="714">
        <f>ROUND(B91*D91*G91,2)</f>
        <v>6839.6</v>
      </c>
      <c r="K91" s="70"/>
      <c r="L91" s="70"/>
      <c r="M91" s="71"/>
      <c r="N91" s="70"/>
      <c r="O91" s="70"/>
      <c r="P91" s="70"/>
      <c r="Q91" s="70"/>
      <c r="R91" s="206" t="s">
        <v>60</v>
      </c>
      <c r="S91" s="251">
        <f>X14+X15+X19+X22+X25</f>
        <v>2</v>
      </c>
      <c r="T91" s="870">
        <f>X6</f>
        <v>1.0355000000000001</v>
      </c>
      <c r="U91" s="870"/>
      <c r="V91" s="122">
        <f>G91</f>
        <v>915.09</v>
      </c>
      <c r="W91" s="182" t="s">
        <v>68</v>
      </c>
      <c r="X91" s="272">
        <f>ROUND(S91*T91*V91,2)</f>
        <v>1895.15</v>
      </c>
      <c r="Y91" s="170"/>
    </row>
    <row r="92" spans="1:26" ht="19.5" customHeight="1" thickBot="1" x14ac:dyDescent="0.3">
      <c r="A92" s="83" t="s">
        <v>61</v>
      </c>
      <c r="B92" s="109">
        <f>I16+I17+I20+I23+I26+I27</f>
        <v>1.944</v>
      </c>
      <c r="C92" s="109"/>
      <c r="D92" s="915">
        <f>I6</f>
        <v>1.0355000000000001</v>
      </c>
      <c r="E92" s="915"/>
      <c r="F92" s="915"/>
      <c r="G92" s="122">
        <f>'[1]Detail 2025-26 FEFP Second'!AD3</f>
        <v>917.3</v>
      </c>
      <c r="H92" s="47" t="s">
        <v>68</v>
      </c>
      <c r="I92" s="574">
        <f>ROUND(B92*D92*G92,2)</f>
        <v>1846.54</v>
      </c>
      <c r="K92" s="70"/>
      <c r="L92" s="70"/>
      <c r="M92" s="71"/>
      <c r="N92" s="70"/>
      <c r="O92" s="70"/>
      <c r="P92" s="70"/>
      <c r="Q92" s="70"/>
      <c r="R92" s="207" t="s">
        <v>61</v>
      </c>
      <c r="S92" s="208">
        <f>X16+X17+X20+X23+X26+X27</f>
        <v>2</v>
      </c>
      <c r="T92" s="870">
        <f>X6</f>
        <v>1.0355000000000001</v>
      </c>
      <c r="U92" s="870"/>
      <c r="V92" s="122">
        <f>G92</f>
        <v>917.3</v>
      </c>
      <c r="W92" s="182" t="s">
        <v>68</v>
      </c>
      <c r="X92" s="272">
        <f>ROUND(S92*T92*V92,2)</f>
        <v>1899.73</v>
      </c>
      <c r="Y92" s="170"/>
    </row>
    <row r="93" spans="1:26" ht="18.75" customHeight="1" thickBot="1" x14ac:dyDescent="0.3">
      <c r="A93" s="247" t="s">
        <v>111</v>
      </c>
      <c r="B93" s="109">
        <f>SUM(B90:B92)</f>
        <v>34.425000000000004</v>
      </c>
      <c r="C93" s="109"/>
      <c r="D93" s="109"/>
      <c r="E93" s="867" t="s">
        <v>112</v>
      </c>
      <c r="F93" s="867"/>
      <c r="G93" s="867"/>
      <c r="H93" s="867"/>
      <c r="I93" s="867"/>
      <c r="J93" s="127">
        <f>IF(A1=75,0,I92+I91+I90)</f>
        <v>33758.25</v>
      </c>
      <c r="K93" s="70"/>
      <c r="L93" s="70"/>
      <c r="M93" s="71"/>
      <c r="N93" s="70"/>
      <c r="O93" s="70"/>
      <c r="P93" s="70"/>
      <c r="Q93" s="70"/>
      <c r="R93" s="252" t="s">
        <v>111</v>
      </c>
      <c r="S93" s="210">
        <f>SUM(S90:S92)</f>
        <v>11</v>
      </c>
      <c r="T93" s="874" t="s">
        <v>112</v>
      </c>
      <c r="U93" s="875"/>
      <c r="V93" s="875"/>
      <c r="W93" s="875"/>
      <c r="X93" s="875"/>
      <c r="Y93" s="266">
        <f>IF(R1=75,0,X92+X91+X90)</f>
        <v>10741.99</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0</v>
      </c>
      <c r="D97" s="279">
        <v>0</v>
      </c>
      <c r="E97" s="871">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c r="E98" s="873">
        <f>(C98+D98)/2</f>
        <v>0</v>
      </c>
      <c r="F98" s="873"/>
      <c r="G98" s="873"/>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8"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839" t="s">
        <v>125</v>
      </c>
      <c r="B107" s="839"/>
      <c r="C107" s="839"/>
      <c r="D107" s="839"/>
      <c r="E107" s="839"/>
      <c r="F107" s="839"/>
      <c r="G107" s="839"/>
      <c r="H107" s="839"/>
      <c r="I107" s="839"/>
      <c r="J107" s="579">
        <f>SUM(J106,J105,J98,J97,J93,J86,J85,J71,J70,J68,J33,J72,J50,J87,J84)</f>
        <v>271492.24000000005</v>
      </c>
      <c r="R107" s="758" t="s">
        <v>125</v>
      </c>
      <c r="S107" s="758"/>
      <c r="T107" s="758"/>
      <c r="U107" s="758"/>
      <c r="V107" s="758"/>
      <c r="W107" s="758"/>
      <c r="X107" s="758"/>
      <c r="Y107" s="730">
        <f>SUM(Y106,Y105,Y97,Y96,Y93,Y86,Y85,Y84,Y70,Y69,Y67,Y33,Y71,Y50,Y87,Y83)</f>
        <v>89065.760000000009</v>
      </c>
    </row>
    <row r="108" spans="1:25" ht="15.75" customHeight="1" thickTop="1" x14ac:dyDescent="0.25">
      <c r="A108" s="817"/>
      <c r="B108" s="817"/>
      <c r="C108" s="817"/>
      <c r="D108" s="817"/>
      <c r="E108" s="817"/>
      <c r="F108" s="817"/>
      <c r="G108" s="817"/>
      <c r="H108" s="817"/>
      <c r="I108" s="817"/>
      <c r="J108" s="817"/>
      <c r="R108" s="855"/>
      <c r="S108" s="855"/>
      <c r="T108" s="855"/>
      <c r="U108" s="855"/>
      <c r="V108" s="855"/>
      <c r="W108" s="855"/>
      <c r="X108" s="855"/>
      <c r="Y108" s="855"/>
    </row>
    <row r="109" spans="1:25" ht="17.25" customHeight="1" thickBot="1" x14ac:dyDescent="0.3">
      <c r="A109" s="841" t="s">
        <v>131</v>
      </c>
      <c r="B109" s="841"/>
      <c r="C109" s="841"/>
      <c r="D109" s="841"/>
      <c r="E109" s="841"/>
      <c r="F109" s="817"/>
      <c r="G109" s="817"/>
      <c r="H109" s="817"/>
      <c r="I109" s="2" t="s">
        <v>132</v>
      </c>
      <c r="J109" s="581">
        <f>J107-J38</f>
        <v>257683.83000000005</v>
      </c>
      <c r="R109" s="170" t="s">
        <v>180</v>
      </c>
      <c r="S109" s="170"/>
      <c r="T109" s="170"/>
      <c r="U109" s="170"/>
      <c r="V109" s="170"/>
      <c r="W109" s="170"/>
      <c r="X109" s="170"/>
      <c r="Y109" s="731">
        <f>Y107-Y38</f>
        <v>84653.49</v>
      </c>
    </row>
    <row r="110" spans="1:25" ht="18.75" customHeight="1" thickTop="1" x14ac:dyDescent="0.25">
      <c r="A110" s="841" t="s">
        <v>133</v>
      </c>
      <c r="B110" s="841"/>
      <c r="C110" s="841"/>
      <c r="D110" s="841"/>
      <c r="E110" s="841"/>
      <c r="F110" s="841"/>
      <c r="G110" s="841"/>
      <c r="H110" s="841"/>
      <c r="I110" s="235" t="s">
        <v>134</v>
      </c>
      <c r="J110" s="72"/>
      <c r="R110" s="851" t="s">
        <v>136</v>
      </c>
      <c r="S110" s="851"/>
      <c r="T110" s="851"/>
      <c r="U110" s="851"/>
      <c r="V110" s="851"/>
      <c r="W110" s="851"/>
      <c r="X110" s="851"/>
      <c r="Y110" s="851"/>
    </row>
    <row r="111" spans="1:25" ht="15.75" customHeight="1" x14ac:dyDescent="0.25">
      <c r="A111" s="848" t="s">
        <v>135</v>
      </c>
      <c r="B111" s="848"/>
      <c r="C111" s="848"/>
      <c r="D111" s="848"/>
      <c r="E111" s="848"/>
      <c r="F111" s="848"/>
      <c r="G111" s="848"/>
      <c r="H111" s="848"/>
      <c r="I111" s="280">
        <v>1</v>
      </c>
      <c r="J111" s="137">
        <f>Y109</f>
        <v>84653.49</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16">
        <v>0</v>
      </c>
      <c r="I114" s="717">
        <f>IF(I111=1,J111,J109)</f>
        <v>84653.49</v>
      </c>
      <c r="J114" s="718">
        <f>ROUND(IF(E28=0,0,IF(E28&gt;250,-(((250/E28)*I114)*IF(H114="H",0.02,0.05)),IF(H114="H",-0.02*I114,-0.05*I114))),2)</f>
        <v>-4232.67</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267259.57000000007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9"/>
      <c r="I118" s="720"/>
      <c r="J118" s="725">
        <f>-'Cumulative Payments'!R71</f>
        <v>-44562.740000000005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222696.83000000007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22269.68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X59:Y59"/>
    <mergeCell ref="I60:J60"/>
    <mergeCell ref="R60:Y60"/>
    <mergeCell ref="F59:H59"/>
    <mergeCell ref="F62:H62"/>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X62:Y62"/>
    <mergeCell ref="A68:E68"/>
    <mergeCell ref="R68:S68"/>
    <mergeCell ref="A69:B69"/>
    <mergeCell ref="R69:T69"/>
    <mergeCell ref="A70:E70"/>
    <mergeCell ref="R70:T70"/>
    <mergeCell ref="A65:B65"/>
    <mergeCell ref="D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79FE-4EEE-499C-8C34-9B575B8E030E}">
  <dimension ref="A1:Z207"/>
  <sheetViews>
    <sheetView topLeftCell="A100" workbookViewId="0">
      <selection activeCell="J127" sqref="J127"/>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438</v>
      </c>
      <c r="B2" s="102"/>
      <c r="C2" s="102"/>
      <c r="D2" s="102"/>
      <c r="E2" s="100"/>
      <c r="F2" s="100"/>
      <c r="G2" s="100"/>
      <c r="H2" s="100"/>
      <c r="I2" s="100"/>
      <c r="J2" s="100"/>
      <c r="K2" s="6"/>
      <c r="L2" s="6"/>
      <c r="M2" s="6"/>
      <c r="N2" s="6"/>
      <c r="O2" s="6"/>
      <c r="P2" s="6"/>
      <c r="Q2" s="6"/>
      <c r="R2" s="920" t="str">
        <f>Revenue_Estimate_Worksheet_for___________Charter_School</f>
        <v>Revenue Estimate Worksheet: Inlet Grove Community High School - 1461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Second'!$C$1:$C$65536,MATCH('1461'!$A$1,'[1]Detail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Second'!$D$1:$D$65536,MATCH('1461'!$A$1,'[1]Detail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226.89</v>
      </c>
      <c r="D16" s="414">
        <v>0</v>
      </c>
      <c r="E16" s="832">
        <f t="shared" si="0"/>
        <v>453.78</v>
      </c>
      <c r="F16" s="832"/>
      <c r="G16" s="833">
        <v>0.97199999999999998</v>
      </c>
      <c r="H16" s="833"/>
      <c r="I16" s="577">
        <f t="shared" si="2"/>
        <v>441.07420000000002</v>
      </c>
      <c r="J16" s="578">
        <f t="shared" si="1"/>
        <v>2453840.14</v>
      </c>
      <c r="M16" s="2"/>
      <c r="R16" s="756" t="s">
        <v>24</v>
      </c>
      <c r="S16" s="756"/>
      <c r="T16" s="897">
        <f t="shared" si="3"/>
        <v>0</v>
      </c>
      <c r="U16" s="897"/>
      <c r="V16" s="896">
        <v>1</v>
      </c>
      <c r="W16" s="896"/>
      <c r="X16" s="156">
        <f t="shared" si="4"/>
        <v>0</v>
      </c>
      <c r="Y16" s="266">
        <f t="shared" si="6"/>
        <v>0</v>
      </c>
    </row>
    <row r="17" spans="1:25" x14ac:dyDescent="0.25">
      <c r="A17" s="757" t="s">
        <v>25</v>
      </c>
      <c r="B17" s="757"/>
      <c r="C17" s="414">
        <v>40.799999999999997</v>
      </c>
      <c r="D17" s="414">
        <v>0</v>
      </c>
      <c r="E17" s="832">
        <f t="shared" si="0"/>
        <v>81.599999999999994</v>
      </c>
      <c r="F17" s="832"/>
      <c r="G17" s="833">
        <v>0.97199999999999998</v>
      </c>
      <c r="H17" s="833"/>
      <c r="I17" s="577">
        <f t="shared" si="2"/>
        <v>79.315200000000004</v>
      </c>
      <c r="J17" s="578">
        <f t="shared" si="1"/>
        <v>441256.42</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3.44</v>
      </c>
      <c r="D26" s="414">
        <v>0</v>
      </c>
      <c r="E26" s="832">
        <f t="shared" si="0"/>
        <v>6.88</v>
      </c>
      <c r="F26" s="832"/>
      <c r="G26" s="833">
        <v>1.165</v>
      </c>
      <c r="H26" s="833"/>
      <c r="I26" s="577">
        <f t="shared" si="2"/>
        <v>8.0152000000000001</v>
      </c>
      <c r="J26" s="578">
        <f t="shared" si="1"/>
        <v>44591.18</v>
      </c>
      <c r="M26" s="2"/>
      <c r="R26" s="756" t="s">
        <v>34</v>
      </c>
      <c r="S26" s="756"/>
      <c r="T26" s="897">
        <f t="shared" si="3"/>
        <v>0</v>
      </c>
      <c r="U26" s="897"/>
      <c r="V26" s="896">
        <v>1</v>
      </c>
      <c r="W26" s="896"/>
      <c r="X26" s="156">
        <f t="shared" si="4"/>
        <v>0</v>
      </c>
      <c r="Y26" s="266">
        <f t="shared" si="6"/>
        <v>0</v>
      </c>
    </row>
    <row r="27" spans="1:25" x14ac:dyDescent="0.25">
      <c r="A27" s="764" t="s">
        <v>35</v>
      </c>
      <c r="B27" s="764"/>
      <c r="C27" s="415">
        <v>78.56</v>
      </c>
      <c r="D27" s="415">
        <v>0</v>
      </c>
      <c r="E27" s="834">
        <f t="shared" si="0"/>
        <v>157.12</v>
      </c>
      <c r="F27" s="834"/>
      <c r="G27" s="835">
        <v>1.081</v>
      </c>
      <c r="H27" s="835"/>
      <c r="I27" s="22">
        <f t="shared" si="2"/>
        <v>169.8467</v>
      </c>
      <c r="J27" s="127">
        <f t="shared" si="1"/>
        <v>944912.78</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349.69</v>
      </c>
      <c r="D28" s="126">
        <f>SUM(D12:D27)</f>
        <v>0</v>
      </c>
      <c r="E28" s="837">
        <f>SUM(E12:E27)</f>
        <v>699.38</v>
      </c>
      <c r="F28" s="837"/>
      <c r="G28" s="838"/>
      <c r="H28" s="838"/>
      <c r="I28" s="23">
        <f>SUM(I12:I27)</f>
        <v>698.25130000000013</v>
      </c>
      <c r="J28" s="127">
        <f>SUM(J12:J27)</f>
        <v>3884600.5200000005</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698.25130000000013</v>
      </c>
      <c r="H33" s="838" t="s">
        <v>45</v>
      </c>
      <c r="I33" s="838"/>
      <c r="J33" s="32">
        <f>SUM(J32,J28)</f>
        <v>3884600.5200000005</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3884600.52</v>
      </c>
      <c r="H36" s="223" t="s">
        <v>49</v>
      </c>
      <c r="I36" s="38">
        <v>6.6699999999999995E-2</v>
      </c>
      <c r="J36" s="131">
        <f>ROUND(G36*I36,2)</f>
        <v>259102.85</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3884600.52</v>
      </c>
      <c r="H37" s="223" t="s">
        <v>49</v>
      </c>
      <c r="I37" s="38">
        <v>5.4000000000000003E-3</v>
      </c>
      <c r="J37" s="131">
        <f>ROUND(G37*I37,2)</f>
        <v>20976.84</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280079.69</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707"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46">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37.89</v>
      </c>
      <c r="D47" s="414">
        <v>0</v>
      </c>
      <c r="E47" s="847">
        <f t="shared" si="7"/>
        <v>75.78</v>
      </c>
      <c r="F47" s="847"/>
      <c r="G47" s="47" t="s">
        <v>61</v>
      </c>
      <c r="H47" s="223">
        <v>251</v>
      </c>
      <c r="I47" s="136">
        <f>INDEX('[1]111-112-113 ADDITIONAL FUND'!J$1:J$65536,MATCH($A$1,'[1]111-112-113 ADDITIONAL FUND'!A$1:A$65536))</f>
        <v>835</v>
      </c>
      <c r="J47" s="46">
        <f t="shared" si="8"/>
        <v>63276.3</v>
      </c>
      <c r="M47" s="2"/>
      <c r="R47" s="906"/>
      <c r="S47" s="906"/>
      <c r="T47" s="888"/>
      <c r="U47" s="888"/>
      <c r="V47" s="182" t="s">
        <v>61</v>
      </c>
      <c r="W47" s="239">
        <v>251</v>
      </c>
      <c r="X47" s="134">
        <f t="shared" si="9"/>
        <v>835</v>
      </c>
      <c r="Y47" s="269">
        <f t="shared" si="10"/>
        <v>0</v>
      </c>
    </row>
    <row r="48" spans="1:25" ht="15.75" customHeight="1" x14ac:dyDescent="0.25">
      <c r="A48" s="846"/>
      <c r="B48" s="846"/>
      <c r="C48" s="414">
        <v>2.91</v>
      </c>
      <c r="D48" s="414">
        <v>0</v>
      </c>
      <c r="E48" s="847">
        <f t="shared" si="7"/>
        <v>5.82</v>
      </c>
      <c r="F48" s="847"/>
      <c r="G48" s="47" t="s">
        <v>61</v>
      </c>
      <c r="H48" s="223">
        <v>252</v>
      </c>
      <c r="I48" s="136">
        <f>INDEX('[1]111-112-113 ADDITIONAL FUND'!K$1:K$65536,MATCH($A$1,'[1]111-112-113 ADDITIONAL FUND'!A$1:A$65536))</f>
        <v>3168</v>
      </c>
      <c r="J48" s="46">
        <f t="shared" si="8"/>
        <v>18437.759999999998</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233">
        <f>SUM(C41:C49)</f>
        <v>40.799999999999997</v>
      </c>
      <c r="D50" s="233">
        <f>SUM(D41:D49)</f>
        <v>0</v>
      </c>
      <c r="E50" s="853">
        <f>SUM(E41:E49)</f>
        <v>81.599999999999994</v>
      </c>
      <c r="F50" s="853"/>
      <c r="G50" s="839" t="s">
        <v>63</v>
      </c>
      <c r="H50" s="839"/>
      <c r="I50" s="839"/>
      <c r="J50" s="276">
        <f>SUM(J41:J49)</f>
        <v>81714.06</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48">
        <f>E28</f>
        <v>699.38</v>
      </c>
      <c r="D53" s="49" t="s">
        <v>66</v>
      </c>
      <c r="G53" s="3"/>
      <c r="H53" s="50" t="s">
        <v>67</v>
      </c>
      <c r="I53" s="709">
        <f>INDEX('[1]Detail 2025-26 FEFP Second'!E$1:E$65536,MATCH(A1,'[1]Detail 2025-26 FEFP Second'!A$1:A$65536))</f>
        <v>215320.92</v>
      </c>
      <c r="J53" s="711"/>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IFERROR(ROUND(C53/I53,6),0)</f>
        <v>3.248E-3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48">
        <f>G33</f>
        <v>698.25130000000013</v>
      </c>
      <c r="D56" s="49" t="s">
        <v>66</v>
      </c>
      <c r="G56" s="3"/>
      <c r="H56" s="50" t="s">
        <v>71</v>
      </c>
      <c r="I56" s="709">
        <f>INDEX('[1]Detail 2025-26 FEFP Second'!F$1:F$65536,MATCH(A1,'[1]Detail 2025-26 FEFP Second'!A$1:A$65536))</f>
        <v>229051.25000000003</v>
      </c>
      <c r="J56" s="711"/>
      <c r="M56" s="2"/>
      <c r="R56" s="255"/>
      <c r="S56" s="170"/>
      <c r="T56" s="170"/>
      <c r="U56" s="170"/>
      <c r="V56" s="170"/>
      <c r="W56" s="189" t="s">
        <v>68</v>
      </c>
      <c r="X56" s="885">
        <f>ROUND(T55/X55,6)</f>
        <v>0</v>
      </c>
      <c r="Y56" s="885"/>
    </row>
    <row r="57" spans="1:25" ht="18.75" customHeight="1" x14ac:dyDescent="0.25">
      <c r="A57" s="237"/>
      <c r="H57" s="53" t="s">
        <v>68</v>
      </c>
      <c r="I57" s="849">
        <f>IFERROR(ROUND(C56/I56,6),0)</f>
        <v>3.0479999999999999E-3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48">
        <f>E28</f>
        <v>699.38</v>
      </c>
      <c r="D59" s="49" t="s">
        <v>66</v>
      </c>
      <c r="F59" s="812" t="s">
        <v>74</v>
      </c>
      <c r="G59" s="812"/>
      <c r="H59" s="812"/>
      <c r="I59" s="709">
        <f>INDEX('[1]Detail 2025-26 FEFP Second'!H$1:H$65536,MATCH(A1,'[1]Detail 2025-26 FEFP Second'!A$1:A$65536))</f>
        <v>186156.17</v>
      </c>
      <c r="J59" s="711"/>
      <c r="M59" s="2"/>
      <c r="R59" s="255"/>
      <c r="S59" s="170"/>
      <c r="T59" s="170"/>
      <c r="U59" s="170"/>
      <c r="V59" s="170"/>
      <c r="W59" s="189" t="s">
        <v>68</v>
      </c>
      <c r="X59" s="885">
        <f>ROUND(T58/X58,6)</f>
        <v>0</v>
      </c>
      <c r="Y59" s="885"/>
    </row>
    <row r="60" spans="1:25" ht="18" customHeight="1" x14ac:dyDescent="0.25">
      <c r="A60" s="237"/>
      <c r="H60" s="53" t="s">
        <v>68</v>
      </c>
      <c r="I60" s="849">
        <f>IFERROR(ROUND(C59/I59,6),0)</f>
        <v>3.7569999999999999E-3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20.25" customHeight="1" x14ac:dyDescent="0.25">
      <c r="A62" s="848" t="s">
        <v>73</v>
      </c>
      <c r="B62" s="848"/>
      <c r="C62" s="48">
        <f>E28</f>
        <v>699.38</v>
      </c>
      <c r="D62" s="49" t="s">
        <v>66</v>
      </c>
      <c r="F62" s="812" t="s">
        <v>76</v>
      </c>
      <c r="G62" s="812"/>
      <c r="H62" s="812"/>
      <c r="I62" s="709">
        <f>INDEX('[1]Detail 2025-26 FEFP Second'!G$1:G$65536,MATCH(A1,'[1]Detail 2025-26 FEFP Second'!A$1:A$65536))</f>
        <v>215016.58000000002</v>
      </c>
      <c r="J62" s="711"/>
      <c r="M62" s="2"/>
      <c r="R62" s="255"/>
      <c r="S62" s="170"/>
      <c r="T62" s="170"/>
      <c r="U62" s="170"/>
      <c r="V62" s="170"/>
      <c r="W62" s="189" t="s">
        <v>68</v>
      </c>
      <c r="X62" s="885">
        <f>ROUND(T61/X61,6)</f>
        <v>0</v>
      </c>
      <c r="Y62" s="885"/>
    </row>
    <row r="63" spans="1:25" ht="19.5" customHeight="1" x14ac:dyDescent="0.25">
      <c r="A63" s="237"/>
      <c r="H63" s="53" t="s">
        <v>68</v>
      </c>
      <c r="I63" s="849">
        <f>IFERROR(ROUND(C62/I62,6),0)</f>
        <v>3.2529999999999998E-3</v>
      </c>
      <c r="J63" s="849"/>
      <c r="L63" s="55"/>
      <c r="M63" s="56"/>
      <c r="O63" s="57"/>
      <c r="P63" s="58"/>
      <c r="R63" s="758" t="s">
        <v>77</v>
      </c>
      <c r="S63" s="758"/>
      <c r="T63" s="758"/>
      <c r="U63" s="758"/>
      <c r="V63" s="758"/>
      <c r="W63" s="758"/>
      <c r="X63" s="758"/>
      <c r="Y63" s="758"/>
    </row>
    <row r="64" spans="1:25" ht="22.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x14ac:dyDescent="0.25">
      <c r="A65" s="848" t="s">
        <v>73</v>
      </c>
      <c r="B65" s="848"/>
      <c r="C65" s="48">
        <f>E28</f>
        <v>699.38</v>
      </c>
      <c r="D65" s="812" t="s">
        <v>560</v>
      </c>
      <c r="E65" s="812"/>
      <c r="F65" s="812"/>
      <c r="G65" s="812"/>
      <c r="H65" s="812"/>
      <c r="I65" s="709">
        <f>INDEX('[1]Detail 2025-26 FEFP Second'!I$1:I$65536,MATCH(A1,'[1]Detail 2025-26 FEFP Second'!A$1:A$65536))</f>
        <v>185851.83000000002</v>
      </c>
      <c r="J65" s="711"/>
      <c r="M65" s="2"/>
      <c r="R65" s="190"/>
      <c r="S65" s="170"/>
      <c r="T65" s="170"/>
      <c r="U65" s="170"/>
      <c r="V65" s="170"/>
      <c r="W65" s="189" t="s">
        <v>68</v>
      </c>
      <c r="X65" s="885">
        <f>ROUND(T64/X64,6)</f>
        <v>0</v>
      </c>
      <c r="Y65" s="885"/>
    </row>
    <row r="66" spans="1:26" ht="19.5" customHeight="1" x14ac:dyDescent="0.25">
      <c r="A66" s="237"/>
      <c r="H66" s="53" t="s">
        <v>68</v>
      </c>
      <c r="I66" s="849">
        <f>IFERROR(ROUND(C65/I65,6),0)</f>
        <v>3.7629999999999999E-3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3.2529999999999998E-3</v>
      </c>
      <c r="J68" s="138">
        <f>ROUND(G68*I68,2)</f>
        <v>153836.79999999999</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3.248E-3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3.7629999999999999E-3</v>
      </c>
      <c r="J71" s="138">
        <f>ROUND(G71*I71,2)</f>
        <v>72128.740000000005</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3.7569999999999999E-3</v>
      </c>
      <c r="J72" s="138">
        <f>ROUND(G72*I72,2)</f>
        <v>43381.66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v>10.72</v>
      </c>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48.9</v>
      </c>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v>0.25</v>
      </c>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v>9.2799999999999994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69.149999999999991</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6.0330000000000002E-3</v>
      </c>
      <c r="J84" s="62">
        <f>ROUND(G84*I84,2)</f>
        <v>381706.26</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3.0479999999999999E-3</v>
      </c>
      <c r="J85" s="138">
        <f>ROUND(G85*I85,2)</f>
        <v>819352.02</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3.0479999999999999E-3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3.248E-3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141">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0</v>
      </c>
      <c r="C91" s="245"/>
      <c r="D91" s="915">
        <f>I6</f>
        <v>1.0355000000000001</v>
      </c>
      <c r="E91" s="915"/>
      <c r="F91" s="915"/>
      <c r="G91" s="122">
        <f>'[1]Detail 2025-26 FEFP Second'!AC3</f>
        <v>915.09</v>
      </c>
      <c r="H91" s="47" t="s">
        <v>68</v>
      </c>
      <c r="I91" s="140">
        <f>ROUND(B91*D91*G91,2)</f>
        <v>0</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698.25130000000013</v>
      </c>
      <c r="C92" s="109"/>
      <c r="D92" s="915">
        <f>I6</f>
        <v>1.0355000000000001</v>
      </c>
      <c r="E92" s="915"/>
      <c r="F92" s="915"/>
      <c r="G92" s="122">
        <f>'[1]Detail 2025-26 FEFP Second'!AD3</f>
        <v>917.3</v>
      </c>
      <c r="H92" s="47" t="s">
        <v>68</v>
      </c>
      <c r="I92" s="141">
        <f>ROUND(B92*D92*G92,2)</f>
        <v>663243.88</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698.25130000000013</v>
      </c>
      <c r="C93" s="109"/>
      <c r="D93" s="109"/>
      <c r="E93" s="867" t="s">
        <v>112</v>
      </c>
      <c r="F93" s="867"/>
      <c r="G93" s="867"/>
      <c r="H93" s="867"/>
      <c r="I93" s="867"/>
      <c r="J93" s="127">
        <f>IF(A1=75,0,I92+I91+I90)</f>
        <v>663243.88</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380</v>
      </c>
      <c r="D97" s="279">
        <v>359</v>
      </c>
      <c r="E97" s="871">
        <f>(C97+D97)/2</f>
        <v>369.5</v>
      </c>
      <c r="F97" s="871"/>
      <c r="G97" s="871"/>
      <c r="H97" s="224" t="s">
        <v>117</v>
      </c>
      <c r="I97" s="130">
        <f>IF(A1&gt;67,0,INDEX('[1]Transportation Per Student'!F$1:F$65536,MATCH(A1,'[1]Transportation Per Student'!B$1:B$65536)))</f>
        <v>617</v>
      </c>
      <c r="J97" s="138">
        <f>ROUND(I97*E97,2)</f>
        <v>227981.5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c r="E98" s="873">
        <f>(C98+D98)/2</f>
        <v>0</v>
      </c>
      <c r="F98" s="873"/>
      <c r="G98" s="873"/>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8"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839" t="s">
        <v>125</v>
      </c>
      <c r="B107" s="839"/>
      <c r="C107" s="839"/>
      <c r="D107" s="839"/>
      <c r="E107" s="839"/>
      <c r="F107" s="839"/>
      <c r="G107" s="839"/>
      <c r="H107" s="839"/>
      <c r="I107" s="839"/>
      <c r="J107" s="579">
        <f>SUM(J106,J105,J98,J97,J93,J86,J85,J71,J70,J68,J33,J72,J50,J87,J84)</f>
        <v>6327945.4400000004</v>
      </c>
      <c r="R107" s="758" t="s">
        <v>125</v>
      </c>
      <c r="S107" s="758"/>
      <c r="T107" s="758"/>
      <c r="U107" s="758"/>
      <c r="V107" s="758"/>
      <c r="W107" s="758"/>
      <c r="X107" s="758"/>
      <c r="Y107" s="219">
        <f>SUM(Y106,Y105,Y97,Y96,Y93,Y86,Y85,Y84,Y70,Y69,Y67,Y33,Y71,Y50,Y87,Y83)</f>
        <v>0</v>
      </c>
    </row>
    <row r="108" spans="1:25" ht="15.75" customHeight="1" thickTop="1" x14ac:dyDescent="0.25">
      <c r="A108" s="817"/>
      <c r="B108" s="817"/>
      <c r="C108" s="817"/>
      <c r="D108" s="817"/>
      <c r="E108" s="817"/>
      <c r="F108" s="817"/>
      <c r="G108" s="817"/>
      <c r="H108" s="817"/>
      <c r="I108" s="817"/>
      <c r="J108" s="817"/>
      <c r="R108" s="855"/>
      <c r="S108" s="855"/>
      <c r="T108" s="855"/>
      <c r="U108" s="855"/>
      <c r="V108" s="855"/>
      <c r="W108" s="855"/>
      <c r="X108" s="855"/>
      <c r="Y108" s="855"/>
    </row>
    <row r="109" spans="1:25" ht="17.25" customHeight="1" thickBot="1" x14ac:dyDescent="0.3">
      <c r="A109" s="841" t="s">
        <v>131</v>
      </c>
      <c r="B109" s="841"/>
      <c r="C109" s="841"/>
      <c r="D109" s="841"/>
      <c r="E109" s="841"/>
      <c r="F109" s="817"/>
      <c r="G109" s="817"/>
      <c r="H109" s="817"/>
      <c r="I109" s="2" t="s">
        <v>132</v>
      </c>
      <c r="J109" s="581">
        <f>J107-J38</f>
        <v>6047865.75</v>
      </c>
      <c r="R109" s="170" t="s">
        <v>180</v>
      </c>
      <c r="S109" s="170"/>
      <c r="T109" s="170"/>
      <c r="U109" s="170"/>
      <c r="V109" s="170"/>
      <c r="W109" s="170"/>
      <c r="X109" s="170"/>
      <c r="Y109" s="220">
        <f>Y107-Y38</f>
        <v>0</v>
      </c>
    </row>
    <row r="110" spans="1:25" ht="18.75" customHeight="1" thickTop="1" x14ac:dyDescent="0.25">
      <c r="A110" s="841" t="s">
        <v>133</v>
      </c>
      <c r="B110" s="841"/>
      <c r="C110" s="841"/>
      <c r="D110" s="841"/>
      <c r="E110" s="841"/>
      <c r="F110" s="841"/>
      <c r="G110" s="841"/>
      <c r="H110" s="841"/>
      <c r="I110" s="235" t="s">
        <v>134</v>
      </c>
      <c r="J110" s="72"/>
      <c r="R110" s="851" t="s">
        <v>136</v>
      </c>
      <c r="S110" s="851"/>
      <c r="T110" s="851"/>
      <c r="U110" s="851"/>
      <c r="V110" s="851"/>
      <c r="W110" s="851"/>
      <c r="X110" s="851"/>
      <c r="Y110" s="851"/>
    </row>
    <row r="111" spans="1:25" ht="15.75" customHeight="1" x14ac:dyDescent="0.25">
      <c r="A111" s="848" t="s">
        <v>135</v>
      </c>
      <c r="B111" s="848"/>
      <c r="C111" s="848"/>
      <c r="D111" s="848"/>
      <c r="E111" s="848"/>
      <c r="F111" s="848"/>
      <c r="G111" s="848"/>
      <c r="H111" s="848"/>
      <c r="I111" s="280"/>
      <c r="J111" s="46">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16" t="s">
        <v>436</v>
      </c>
      <c r="I114" s="717">
        <f>IF(I111=1,J111,J109)</f>
        <v>6047865.75</v>
      </c>
      <c r="J114" s="718">
        <f>ROUND(IF(E28=0,0,IF(E28&gt;250,-(((250/E28)*I114)*IF(H114="H",0.02,0.05)),IF(H114="H",-0.02*I114,-0.05*I114))),2)</f>
        <v>-43237.34</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6284708.1000000006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9"/>
      <c r="I118" s="720"/>
      <c r="J118" s="725">
        <f>-'Cumulative Payments'!R72</f>
        <v>-978155.83000000007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5306552.2700000005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530655.23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77719.98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X59:Y59"/>
    <mergeCell ref="I60:J60"/>
    <mergeCell ref="R60:Y60"/>
    <mergeCell ref="F62:H62"/>
    <mergeCell ref="F59:H59"/>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X62:Y62"/>
    <mergeCell ref="A68:E68"/>
    <mergeCell ref="R68:S68"/>
    <mergeCell ref="A69:B69"/>
    <mergeCell ref="R69:T69"/>
    <mergeCell ref="A70:E70"/>
    <mergeCell ref="R70:T70"/>
    <mergeCell ref="A65:B65"/>
    <mergeCell ref="D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7F8-ADC8-4D87-BA31-2337C86B2E39}">
  <dimension ref="A1:Z207"/>
  <sheetViews>
    <sheetView topLeftCell="A101" workbookViewId="0">
      <selection activeCell="A84" sqref="A84:C84"/>
    </sheetView>
  </sheetViews>
  <sheetFormatPr defaultRowHeight="15.75" x14ac:dyDescent="0.25"/>
  <cols>
    <col min="1" max="1" width="13" style="235" customWidth="1"/>
    <col min="2" max="2" width="33.5703125" style="2" customWidth="1"/>
    <col min="3" max="4" width="14.28515625" style="2" customWidth="1"/>
    <col min="5" max="5" width="8.7109375"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439</v>
      </c>
      <c r="B2" s="102"/>
      <c r="C2" s="102"/>
      <c r="D2" s="102"/>
      <c r="E2" s="100"/>
      <c r="F2" s="100"/>
      <c r="G2" s="100"/>
      <c r="H2" s="100"/>
      <c r="I2" s="100"/>
      <c r="J2" s="100"/>
      <c r="K2" s="6"/>
      <c r="L2" s="6"/>
      <c r="M2" s="6"/>
      <c r="N2" s="6"/>
      <c r="O2" s="6"/>
      <c r="P2" s="6"/>
      <c r="Q2" s="6"/>
      <c r="R2" s="920" t="str">
        <f>Revenue_Estimate_Worksheet_for___________Charter_School</f>
        <v>Revenue Estimate Worksheet: South Tech Charter Academy - 1571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Second'!$C$1:$C$65536,MATCH('1571'!$A$1,'[1]Detail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Second'!$D$1:$D$65536,MATCH('1571'!$A$1,'[1]Detail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302.67</v>
      </c>
      <c r="D16" s="414">
        <v>0</v>
      </c>
      <c r="E16" s="832">
        <f t="shared" si="0"/>
        <v>605.34</v>
      </c>
      <c r="F16" s="832"/>
      <c r="G16" s="833">
        <v>0.97199999999999998</v>
      </c>
      <c r="H16" s="833"/>
      <c r="I16" s="577">
        <f t="shared" si="2"/>
        <v>588.39049999999997</v>
      </c>
      <c r="J16" s="578">
        <f t="shared" si="1"/>
        <v>3273408.93</v>
      </c>
      <c r="M16" s="2"/>
      <c r="R16" s="756" t="s">
        <v>24</v>
      </c>
      <c r="S16" s="756"/>
      <c r="T16" s="897">
        <f t="shared" si="3"/>
        <v>0</v>
      </c>
      <c r="U16" s="897"/>
      <c r="V16" s="896">
        <v>1</v>
      </c>
      <c r="W16" s="896"/>
      <c r="X16" s="156">
        <f t="shared" si="4"/>
        <v>0</v>
      </c>
      <c r="Y16" s="266">
        <f t="shared" si="6"/>
        <v>0</v>
      </c>
    </row>
    <row r="17" spans="1:25" x14ac:dyDescent="0.25">
      <c r="A17" s="757" t="s">
        <v>25</v>
      </c>
      <c r="B17" s="757"/>
      <c r="C17" s="414">
        <v>131.19999999999999</v>
      </c>
      <c r="D17" s="414">
        <v>0</v>
      </c>
      <c r="E17" s="832">
        <f t="shared" si="0"/>
        <v>262.39999999999998</v>
      </c>
      <c r="F17" s="832"/>
      <c r="G17" s="833">
        <v>0.97199999999999998</v>
      </c>
      <c r="H17" s="833"/>
      <c r="I17" s="577">
        <f t="shared" si="2"/>
        <v>255.05279999999999</v>
      </c>
      <c r="J17" s="578">
        <f t="shared" si="1"/>
        <v>1418942.21</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2.44</v>
      </c>
      <c r="D26" s="414">
        <v>0</v>
      </c>
      <c r="E26" s="832">
        <f t="shared" si="0"/>
        <v>4.88</v>
      </c>
      <c r="F26" s="832"/>
      <c r="G26" s="833">
        <v>1.165</v>
      </c>
      <c r="H26" s="833"/>
      <c r="I26" s="577">
        <f t="shared" si="2"/>
        <v>5.6852</v>
      </c>
      <c r="J26" s="578">
        <f t="shared" si="1"/>
        <v>31628.63</v>
      </c>
      <c r="M26" s="2"/>
      <c r="R26" s="756" t="s">
        <v>34</v>
      </c>
      <c r="S26" s="756"/>
      <c r="T26" s="897">
        <f t="shared" si="3"/>
        <v>0</v>
      </c>
      <c r="U26" s="897"/>
      <c r="V26" s="896">
        <v>1</v>
      </c>
      <c r="W26" s="896"/>
      <c r="X26" s="156">
        <f t="shared" si="4"/>
        <v>0</v>
      </c>
      <c r="Y26" s="266">
        <f t="shared" si="6"/>
        <v>0</v>
      </c>
    </row>
    <row r="27" spans="1:25" x14ac:dyDescent="0.25">
      <c r="A27" s="764" t="s">
        <v>35</v>
      </c>
      <c r="B27" s="764"/>
      <c r="C27" s="415">
        <v>121.01</v>
      </c>
      <c r="D27" s="415">
        <v>0</v>
      </c>
      <c r="E27" s="834">
        <f t="shared" si="0"/>
        <v>242.02</v>
      </c>
      <c r="F27" s="834"/>
      <c r="G27" s="835">
        <v>1.081</v>
      </c>
      <c r="H27" s="835"/>
      <c r="I27" s="22">
        <f t="shared" si="2"/>
        <v>261.62360000000001</v>
      </c>
      <c r="J27" s="127">
        <f t="shared" si="1"/>
        <v>1455497.72</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557.32000000000005</v>
      </c>
      <c r="D28" s="126">
        <f>SUM(D12:D27)</f>
        <v>0</v>
      </c>
      <c r="E28" s="936">
        <f>SUM(E12:E27)</f>
        <v>1114.6400000000001</v>
      </c>
      <c r="F28" s="936"/>
      <c r="G28" s="838"/>
      <c r="H28" s="838"/>
      <c r="I28" s="23">
        <f>SUM(I12:I27)</f>
        <v>1110.7520999999999</v>
      </c>
      <c r="J28" s="127">
        <f>SUM(J12:J27)</f>
        <v>6179477.4900000002</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1110.7520999999999</v>
      </c>
      <c r="H33" s="838" t="s">
        <v>45</v>
      </c>
      <c r="I33" s="838"/>
      <c r="J33" s="32">
        <f>SUM(J32,J28)</f>
        <v>6179477.4900000002</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6179477.4900000002</v>
      </c>
      <c r="H36" s="223" t="s">
        <v>49</v>
      </c>
      <c r="I36" s="38">
        <v>6.6699999999999995E-2</v>
      </c>
      <c r="J36" s="131">
        <f>ROUND(G36*I36,2)</f>
        <v>412171.15</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6179477.4900000002</v>
      </c>
      <c r="H37" s="223" t="s">
        <v>49</v>
      </c>
      <c r="I37" s="38">
        <v>5.4000000000000003E-3</v>
      </c>
      <c r="J37" s="131">
        <f>ROUND(G37*I37,2)</f>
        <v>33369.18</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445540.33</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46">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119.29</v>
      </c>
      <c r="D47" s="414">
        <v>0</v>
      </c>
      <c r="E47" s="847">
        <f t="shared" si="7"/>
        <v>238.58</v>
      </c>
      <c r="F47" s="847"/>
      <c r="G47" s="47" t="s">
        <v>61</v>
      </c>
      <c r="H47" s="223">
        <v>251</v>
      </c>
      <c r="I47" s="136">
        <f>INDEX('[1]111-112-113 ADDITIONAL FUND'!J$1:J$65536,MATCH($A$1,'[1]111-112-113 ADDITIONAL FUND'!A$1:A$65536))</f>
        <v>835</v>
      </c>
      <c r="J47" s="137">
        <f t="shared" si="8"/>
        <v>199214.3</v>
      </c>
      <c r="M47" s="2"/>
      <c r="R47" s="906"/>
      <c r="S47" s="906"/>
      <c r="T47" s="888"/>
      <c r="U47" s="888"/>
      <c r="V47" s="182" t="s">
        <v>61</v>
      </c>
      <c r="W47" s="239">
        <v>251</v>
      </c>
      <c r="X47" s="134">
        <f t="shared" si="9"/>
        <v>835</v>
      </c>
      <c r="Y47" s="269">
        <f t="shared" si="10"/>
        <v>0</v>
      </c>
    </row>
    <row r="48" spans="1:25" ht="15.75" customHeight="1" x14ac:dyDescent="0.25">
      <c r="A48" s="846"/>
      <c r="B48" s="846"/>
      <c r="C48" s="414">
        <v>11.91</v>
      </c>
      <c r="D48" s="414">
        <v>0</v>
      </c>
      <c r="E48" s="847">
        <f t="shared" si="7"/>
        <v>23.82</v>
      </c>
      <c r="F48" s="847"/>
      <c r="G48" s="47" t="s">
        <v>61</v>
      </c>
      <c r="H48" s="223">
        <v>252</v>
      </c>
      <c r="I48" s="136">
        <f>INDEX('[1]111-112-113 ADDITIONAL FUND'!K$1:K$65536,MATCH($A$1,'[1]111-112-113 ADDITIONAL FUND'!A$1:A$65536))</f>
        <v>3168</v>
      </c>
      <c r="J48" s="137">
        <f t="shared" si="8"/>
        <v>75461.759999999995</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233">
        <f>SUM(C41:C49)</f>
        <v>131.20000000000002</v>
      </c>
      <c r="D50" s="233">
        <f>SUM(D41:D49)</f>
        <v>0</v>
      </c>
      <c r="E50" s="853">
        <f>SUM(E41:E49)</f>
        <v>262.40000000000003</v>
      </c>
      <c r="F50" s="853"/>
      <c r="G50" s="839" t="s">
        <v>63</v>
      </c>
      <c r="H50" s="839"/>
      <c r="I50" s="839"/>
      <c r="J50" s="276">
        <f>SUM(J41:J49)</f>
        <v>274676.06</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1114.6400000000001</v>
      </c>
      <c r="F53" s="49" t="s">
        <v>66</v>
      </c>
      <c r="G53" s="3"/>
      <c r="H53" s="50" t="s">
        <v>67</v>
      </c>
      <c r="I53" s="709">
        <f>INDEX('[1]Detail 2025-26 FEFP Second'!E$1:E$65536,MATCH(A1,'[1]Detail 2025-26 FEFP Second'!A$1:A$65536))</f>
        <v>215320.92</v>
      </c>
      <c r="J53" s="711"/>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5.1770000000000002E-3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1110.7520999999999</v>
      </c>
      <c r="F56" s="49" t="s">
        <v>66</v>
      </c>
      <c r="G56" s="3"/>
      <c r="H56" s="50" t="s">
        <v>71</v>
      </c>
      <c r="I56" s="709">
        <f>INDEX('[1]Detail 2025-26 FEFP Second'!F$1:F$65536,MATCH(A1,'[1]Detail 2025-26 FEFP Second'!A$1:A$65536))</f>
        <v>229051.25000000003</v>
      </c>
      <c r="J56" s="711"/>
      <c r="M56" s="2"/>
      <c r="R56" s="255"/>
      <c r="S56" s="170"/>
      <c r="T56" s="170"/>
      <c r="U56" s="170"/>
      <c r="V56" s="170"/>
      <c r="W56" s="189" t="s">
        <v>68</v>
      </c>
      <c r="X56" s="885">
        <f>ROUND(T55/X55,6)</f>
        <v>0</v>
      </c>
      <c r="Y56" s="885"/>
    </row>
    <row r="57" spans="1:25" ht="18.75" customHeight="1" x14ac:dyDescent="0.25">
      <c r="A57" s="237"/>
      <c r="H57" s="53" t="s">
        <v>68</v>
      </c>
      <c r="I57" s="849">
        <f>IFERROR(ROUND(E56/I56,6),0)</f>
        <v>4.849E-3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1114.6400000000001</v>
      </c>
      <c r="F59" s="49" t="s">
        <v>66</v>
      </c>
      <c r="G59" s="934" t="s">
        <v>74</v>
      </c>
      <c r="H59" s="934"/>
      <c r="I59" s="709">
        <f>INDEX('[1]Detail 2025-26 FEFP Second'!H$1:H$65536,MATCH(A1,'[1]Detail 2025-26 FEFP Second'!A$1:A$65536))</f>
        <v>186156.17</v>
      </c>
      <c r="J59" s="711"/>
      <c r="M59" s="2"/>
      <c r="R59" s="255"/>
      <c r="S59" s="170"/>
      <c r="T59" s="170"/>
      <c r="U59" s="170"/>
      <c r="V59" s="170"/>
      <c r="W59" s="189" t="s">
        <v>68</v>
      </c>
      <c r="X59" s="885">
        <f>ROUND(T58/X58,6)</f>
        <v>0</v>
      </c>
      <c r="Y59" s="885"/>
    </row>
    <row r="60" spans="1:25" ht="18" customHeight="1" x14ac:dyDescent="0.25">
      <c r="A60" s="237"/>
      <c r="H60" s="53" t="s">
        <v>68</v>
      </c>
      <c r="I60" s="849">
        <f>IFERROR(ROUND(E59/I59,6),0)</f>
        <v>5.9880000000000003E-3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1114.6400000000001</v>
      </c>
      <c r="F62" s="49" t="s">
        <v>66</v>
      </c>
      <c r="G62" s="934" t="s">
        <v>76</v>
      </c>
      <c r="H62" s="934"/>
      <c r="I62" s="709">
        <f>INDEX('[1]Detail 2025-26 FEFP Second'!G$1:G$65536,MATCH(A1,'[1]Detail 2025-26 FEFP Second'!A$1:A$65536))</f>
        <v>215016.58000000002</v>
      </c>
      <c r="J62" s="711"/>
      <c r="M62" s="2"/>
      <c r="R62" s="255"/>
      <c r="S62" s="170"/>
      <c r="T62" s="170"/>
      <c r="U62" s="170"/>
      <c r="V62" s="170"/>
      <c r="W62" s="189" t="s">
        <v>68</v>
      </c>
      <c r="X62" s="885">
        <f>ROUND(T61/X61,6)</f>
        <v>0</v>
      </c>
      <c r="Y62" s="885"/>
    </row>
    <row r="63" spans="1:25" ht="19.5" customHeight="1" x14ac:dyDescent="0.25">
      <c r="A63" s="237"/>
      <c r="H63" s="53" t="s">
        <v>68</v>
      </c>
      <c r="I63" s="849">
        <f>IFERROR(ROUND(E62/I62,6),0)</f>
        <v>5.1840000000000002E-3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1114.6400000000001</v>
      </c>
      <c r="F65" s="49" t="s">
        <v>66</v>
      </c>
      <c r="G65" s="934" t="s">
        <v>78</v>
      </c>
      <c r="H65" s="934"/>
      <c r="I65" s="709">
        <f>INDEX('[1]Detail 2025-26 FEFP Second'!I$1:I$65536,MATCH(A1,'[1]Detail 2025-26 FEFP Second'!A$1:A$65536))</f>
        <v>185851.83000000002</v>
      </c>
      <c r="J65" s="711"/>
      <c r="M65" s="2"/>
      <c r="R65" s="190"/>
      <c r="S65" s="170"/>
      <c r="T65" s="170"/>
      <c r="U65" s="170"/>
      <c r="V65" s="170"/>
      <c r="W65" s="189" t="s">
        <v>68</v>
      </c>
      <c r="X65" s="885">
        <f>ROUND(T64/X64,6)</f>
        <v>0</v>
      </c>
      <c r="Y65" s="885"/>
    </row>
    <row r="66" spans="1:26" ht="19.5" customHeight="1" x14ac:dyDescent="0.25">
      <c r="A66" s="237"/>
      <c r="H66" s="53" t="s">
        <v>68</v>
      </c>
      <c r="I66" s="849">
        <f>IFERROR(ROUND(E65/I65,6),0)</f>
        <v>5.9969999999999997E-3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5.1840000000000002E-3</v>
      </c>
      <c r="J68" s="138">
        <f>ROUND(G68*I68,2)</f>
        <v>245155.23</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5.1770000000000002E-3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5.9969999999999997E-3</v>
      </c>
      <c r="J71" s="138">
        <f>ROUND(G71*I71,2)</f>
        <v>114949.78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5.9880000000000003E-3</v>
      </c>
      <c r="J72" s="138">
        <f>ROUND(G72*I72,2)</f>
        <v>69142.77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v>14.4</v>
      </c>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103.7</v>
      </c>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v>2</v>
      </c>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v>3.52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123.62</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817" t="s">
        <v>101</v>
      </c>
      <c r="B84" s="817"/>
      <c r="C84" s="817"/>
      <c r="D84" s="230"/>
      <c r="G84" s="121">
        <f>INDEX('[1]Detail 2025-26 FEFP Second'!O$1:O$65536,MATCH(A1,'[1]Detail 2025-26 FEFP Second'!A$1:A$65536))</f>
        <v>63269727</v>
      </c>
      <c r="H84" s="223" t="s">
        <v>81</v>
      </c>
      <c r="I84" s="41">
        <f>IFERROR(ROUND(J81/J82,6),0)</f>
        <v>1.0786E-2</v>
      </c>
      <c r="J84" s="62">
        <f>ROUND(G84*I84,2)</f>
        <v>682427.28</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4.849E-3</v>
      </c>
      <c r="J85" s="138">
        <f>ROUND(G85*I85,2)</f>
        <v>1303490.1299999999</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4.849E-3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5.1770000000000002E-3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141">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0</v>
      </c>
      <c r="C91" s="245"/>
      <c r="D91" s="915">
        <f>I6</f>
        <v>1.0355000000000001</v>
      </c>
      <c r="E91" s="915"/>
      <c r="F91" s="915"/>
      <c r="G91" s="122">
        <f>'[1]Detail 2025-26 FEFP Second'!AC3</f>
        <v>915.09</v>
      </c>
      <c r="H91" s="47" t="s">
        <v>68</v>
      </c>
      <c r="I91" s="140">
        <f>ROUND(B91*D91*G91,2)</f>
        <v>0</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1110.7520999999999</v>
      </c>
      <c r="C92" s="109"/>
      <c r="D92" s="915">
        <f>I6</f>
        <v>1.0355000000000001</v>
      </c>
      <c r="E92" s="915"/>
      <c r="F92" s="915"/>
      <c r="G92" s="122">
        <f>'[1]Detail 2025-26 FEFP Second'!AD3</f>
        <v>917.3</v>
      </c>
      <c r="H92" s="47" t="s">
        <v>68</v>
      </c>
      <c r="I92" s="574">
        <f>ROUND(B92*D92*G92,2)</f>
        <v>1055063.6000000001</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1110.7520999999999</v>
      </c>
      <c r="C93" s="109"/>
      <c r="D93" s="109"/>
      <c r="E93" s="867" t="s">
        <v>112</v>
      </c>
      <c r="F93" s="867"/>
      <c r="G93" s="867"/>
      <c r="H93" s="867"/>
      <c r="I93" s="867"/>
      <c r="J93" s="127">
        <f>IF(A1=75,0,I92+I91+I90)</f>
        <v>1055063.6000000001</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784</v>
      </c>
      <c r="D97" s="279">
        <v>796</v>
      </c>
      <c r="E97" s="935">
        <f>(C97+D97)/2</f>
        <v>790</v>
      </c>
      <c r="F97" s="935"/>
      <c r="G97" s="935"/>
      <c r="H97" s="224" t="s">
        <v>117</v>
      </c>
      <c r="I97" s="130">
        <f>IF(A1&gt;67,0,INDEX('[1]Transportation Per Student'!F$1:F$65536,MATCH(A1,'[1]Transportation Per Student'!B$1:B$65536)))</f>
        <v>617</v>
      </c>
      <c r="J97" s="138">
        <f>ROUND(I97*E97,2)</f>
        <v>487430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c r="E98" s="873">
        <f>(C98+D98)/2</f>
        <v>0</v>
      </c>
      <c r="F98" s="873"/>
      <c r="G98" s="873"/>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8"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839" t="s">
        <v>125</v>
      </c>
      <c r="B107" s="839"/>
      <c r="C107" s="839"/>
      <c r="D107" s="839"/>
      <c r="E107" s="839"/>
      <c r="F107" s="839"/>
      <c r="G107" s="839"/>
      <c r="H107" s="839"/>
      <c r="I107" s="839"/>
      <c r="J107" s="579">
        <f>SUM(J106,J105,J98,J97,J93,J86,J85,J71,J70,J68,J33,J72,J50,J87,J84)</f>
        <v>10411812.34</v>
      </c>
      <c r="R107" s="758" t="s">
        <v>125</v>
      </c>
      <c r="S107" s="758"/>
      <c r="T107" s="758"/>
      <c r="U107" s="758"/>
      <c r="V107" s="758"/>
      <c r="W107" s="758"/>
      <c r="X107" s="758"/>
      <c r="Y107" s="219">
        <f>SUM(Y106,Y105,Y97,Y96,Y93,Y86,Y85,Y84,Y70,Y69,Y67,Y33,Y71,Y50,Y87,Y83)</f>
        <v>0</v>
      </c>
    </row>
    <row r="108" spans="1:25" ht="15.75" customHeight="1" thickTop="1" x14ac:dyDescent="0.25">
      <c r="A108" s="817"/>
      <c r="B108" s="817"/>
      <c r="C108" s="817"/>
      <c r="D108" s="817"/>
      <c r="E108" s="817"/>
      <c r="F108" s="817"/>
      <c r="G108" s="817"/>
      <c r="H108" s="817"/>
      <c r="I108" s="817"/>
      <c r="J108" s="817"/>
      <c r="R108" s="855"/>
      <c r="S108" s="855"/>
      <c r="T108" s="855"/>
      <c r="U108" s="855"/>
      <c r="V108" s="855"/>
      <c r="W108" s="855"/>
      <c r="X108" s="855"/>
      <c r="Y108" s="855"/>
    </row>
    <row r="109" spans="1:25" ht="17.25" customHeight="1" thickBot="1" x14ac:dyDescent="0.3">
      <c r="A109" s="841" t="s">
        <v>131</v>
      </c>
      <c r="B109" s="841"/>
      <c r="C109" s="841"/>
      <c r="D109" s="841"/>
      <c r="E109" s="841"/>
      <c r="F109" s="817"/>
      <c r="G109" s="817"/>
      <c r="H109" s="817"/>
      <c r="I109" s="2" t="s">
        <v>132</v>
      </c>
      <c r="J109" s="581">
        <f>J107-J38</f>
        <v>9966272.0099999998</v>
      </c>
      <c r="R109" s="170" t="s">
        <v>180</v>
      </c>
      <c r="S109" s="170"/>
      <c r="T109" s="170"/>
      <c r="U109" s="170"/>
      <c r="V109" s="170"/>
      <c r="W109" s="170"/>
      <c r="X109" s="170"/>
      <c r="Y109" s="220">
        <f>Y107-Y38</f>
        <v>0</v>
      </c>
    </row>
    <row r="110" spans="1:25" ht="18.75" customHeight="1" thickTop="1" x14ac:dyDescent="0.25">
      <c r="A110" s="841" t="s">
        <v>133</v>
      </c>
      <c r="B110" s="841"/>
      <c r="C110" s="841"/>
      <c r="D110" s="841"/>
      <c r="E110" s="841"/>
      <c r="F110" s="841"/>
      <c r="G110" s="841"/>
      <c r="H110" s="841"/>
      <c r="I110" s="235" t="s">
        <v>134</v>
      </c>
      <c r="J110" s="72"/>
      <c r="R110" s="851" t="s">
        <v>136</v>
      </c>
      <c r="S110" s="851"/>
      <c r="T110" s="851"/>
      <c r="U110" s="851"/>
      <c r="V110" s="851"/>
      <c r="W110" s="851"/>
      <c r="X110" s="851"/>
      <c r="Y110" s="851"/>
    </row>
    <row r="111" spans="1:25" ht="15.75" customHeight="1" x14ac:dyDescent="0.25">
      <c r="A111" s="848" t="s">
        <v>135</v>
      </c>
      <c r="B111" s="848"/>
      <c r="C111" s="848"/>
      <c r="D111" s="848"/>
      <c r="E111" s="848"/>
      <c r="F111" s="848"/>
      <c r="G111" s="848"/>
      <c r="H111" s="848"/>
      <c r="I111" s="280"/>
      <c r="J111" s="46">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16" t="s">
        <v>436</v>
      </c>
      <c r="I114" s="717">
        <f>IF(I111=1,J111,J109)</f>
        <v>9966272.0099999998</v>
      </c>
      <c r="J114" s="718">
        <f>ROUND(IF(E28=0,0,IF(E28&gt;250,-(((250/E28)*I114)*IF(H114="H",0.02,0.05)),IF(H114="H",-0.02*I114,-0.05*I114))),2)</f>
        <v>-44706.239999999998</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10367106.1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9"/>
      <c r="I118" s="720"/>
      <c r="J118" s="725">
        <f>-'Cumulative Payments'!R73</f>
        <v>-1603580.78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8763525.3200000003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876352.53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154619.20000000001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G59:H59"/>
    <mergeCell ref="X59:Y59"/>
    <mergeCell ref="I60:J60"/>
    <mergeCell ref="R60:Y60"/>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G62:H62"/>
    <mergeCell ref="X62:Y62"/>
    <mergeCell ref="A68:E68"/>
    <mergeCell ref="R68:S68"/>
    <mergeCell ref="A69:B69"/>
    <mergeCell ref="R69:T69"/>
    <mergeCell ref="A70:E70"/>
    <mergeCell ref="R70:T70"/>
    <mergeCell ref="A65:B65"/>
    <mergeCell ref="G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5E08-26EF-42D2-A8F6-5DD120B76666}">
  <dimension ref="A1:Z207"/>
  <sheetViews>
    <sheetView topLeftCell="A99" workbookViewId="0">
      <selection activeCell="J117" sqref="J117"/>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3.28515625" style="5" bestFit="1"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440</v>
      </c>
      <c r="B2" s="102"/>
      <c r="C2" s="102"/>
      <c r="D2" s="102"/>
      <c r="E2" s="100"/>
      <c r="F2" s="100"/>
      <c r="G2" s="100"/>
      <c r="H2" s="100"/>
      <c r="I2" s="100"/>
      <c r="J2" s="100"/>
      <c r="K2" s="6"/>
      <c r="L2" s="6"/>
      <c r="M2" s="6"/>
      <c r="N2" s="6"/>
      <c r="O2" s="6"/>
      <c r="P2" s="6"/>
      <c r="Q2" s="6"/>
      <c r="R2" s="920" t="str">
        <f>Revenue_Estimate_Worksheet_for___________Charter_School</f>
        <v>Revenue Estimate Worksheet: Ed Venture Charter School - 2521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Second'!$C$1:$C$65536,MATCH('2521'!$A$1,'[1]Detail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Second'!$D$1:$D$65536,MATCH('2521'!$A$1,'[1]Detail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26.65</v>
      </c>
      <c r="D17" s="414">
        <v>0</v>
      </c>
      <c r="E17" s="832">
        <f t="shared" si="0"/>
        <v>53.3</v>
      </c>
      <c r="F17" s="832"/>
      <c r="G17" s="833">
        <v>0.97199999999999998</v>
      </c>
      <c r="H17" s="833"/>
      <c r="I17" s="577">
        <f t="shared" si="2"/>
        <v>51.807600000000001</v>
      </c>
      <c r="J17" s="578">
        <f t="shared" si="1"/>
        <v>288222.64</v>
      </c>
      <c r="M17" s="2"/>
      <c r="R17" s="756" t="s">
        <v>25</v>
      </c>
      <c r="S17" s="756"/>
      <c r="T17" s="897">
        <f t="shared" si="3"/>
        <v>53.3</v>
      </c>
      <c r="U17" s="897"/>
      <c r="V17" s="896">
        <v>1</v>
      </c>
      <c r="W17" s="896"/>
      <c r="X17" s="156">
        <f t="shared" si="4"/>
        <v>53.3</v>
      </c>
      <c r="Y17" s="266">
        <f t="shared" si="6"/>
        <v>296525.34999999998</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10.43</v>
      </c>
      <c r="D20" s="414">
        <v>0</v>
      </c>
      <c r="E20" s="832">
        <f t="shared" si="0"/>
        <v>20.86</v>
      </c>
      <c r="F20" s="832"/>
      <c r="G20" s="833">
        <v>3.609</v>
      </c>
      <c r="H20" s="833"/>
      <c r="I20" s="577">
        <f t="shared" si="2"/>
        <v>75.283699999999996</v>
      </c>
      <c r="J20" s="578">
        <f t="shared" si="1"/>
        <v>418827.86</v>
      </c>
      <c r="M20" s="2"/>
      <c r="R20" s="756" t="s">
        <v>28</v>
      </c>
      <c r="S20" s="756"/>
      <c r="T20" s="897">
        <f t="shared" si="3"/>
        <v>20.86</v>
      </c>
      <c r="U20" s="897"/>
      <c r="V20" s="896">
        <v>1</v>
      </c>
      <c r="W20" s="896"/>
      <c r="X20" s="156">
        <f t="shared" si="4"/>
        <v>20.86</v>
      </c>
      <c r="Y20" s="266">
        <f t="shared" si="6"/>
        <v>116051.01</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37.08</v>
      </c>
      <c r="D28" s="126">
        <f>SUM(D12:D27)</f>
        <v>0</v>
      </c>
      <c r="E28" s="837">
        <f>SUM(E12:E27)</f>
        <v>74.16</v>
      </c>
      <c r="F28" s="837"/>
      <c r="G28" s="838"/>
      <c r="H28" s="838"/>
      <c r="I28" s="23">
        <f>SUM(I12:I27)</f>
        <v>127.09129999999999</v>
      </c>
      <c r="J28" s="127">
        <f>SUM(J12:J27)</f>
        <v>707050.5</v>
      </c>
      <c r="M28" s="2"/>
      <c r="R28" s="899" t="s">
        <v>36</v>
      </c>
      <c r="S28" s="899"/>
      <c r="T28" s="900">
        <f>SUM(T12:T27)</f>
        <v>74.16</v>
      </c>
      <c r="U28" s="900"/>
      <c r="V28" s="901"/>
      <c r="W28" s="901"/>
      <c r="X28" s="158">
        <f>SUM(X12:X27)</f>
        <v>74.16</v>
      </c>
      <c r="Y28" s="266">
        <f>SUM(Y12:Y27)</f>
        <v>412576.36</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127.09129999999999</v>
      </c>
      <c r="H33" s="838" t="s">
        <v>45</v>
      </c>
      <c r="I33" s="838"/>
      <c r="J33" s="32">
        <f>SUM(J32,J28)</f>
        <v>707050.5</v>
      </c>
      <c r="M33" s="2"/>
      <c r="R33" s="854" t="s">
        <v>44</v>
      </c>
      <c r="S33" s="854"/>
      <c r="T33" s="854"/>
      <c r="U33" s="854"/>
      <c r="V33" s="164">
        <f>V32+X28</f>
        <v>74.16</v>
      </c>
      <c r="W33" s="901" t="s">
        <v>45</v>
      </c>
      <c r="X33" s="901"/>
      <c r="Y33" s="165">
        <f>SUM(Y32,Y28)</f>
        <v>412576.36</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707050.5</v>
      </c>
      <c r="H36" s="223" t="s">
        <v>49</v>
      </c>
      <c r="I36" s="38">
        <v>6.6699999999999995E-2</v>
      </c>
      <c r="J36" s="131">
        <f>ROUND(G36*I36,2)</f>
        <v>47160.27</v>
      </c>
      <c r="K36" s="39"/>
      <c r="L36" s="233"/>
      <c r="M36" s="233"/>
      <c r="N36" s="233"/>
      <c r="O36" s="31"/>
      <c r="P36" s="232"/>
      <c r="Q36" s="232"/>
      <c r="R36" s="756" t="s">
        <v>47</v>
      </c>
      <c r="S36" s="756"/>
      <c r="T36" s="756"/>
      <c r="U36" s="253"/>
      <c r="V36" s="172">
        <v>412576.36</v>
      </c>
      <c r="W36" s="239" t="s">
        <v>49</v>
      </c>
      <c r="X36" s="174">
        <v>6.6699999999999995E-2</v>
      </c>
      <c r="Y36" s="266">
        <f>ROUND(V36*X36,2)</f>
        <v>27518.84</v>
      </c>
    </row>
    <row r="37" spans="1:25" ht="20.25" customHeight="1" x14ac:dyDescent="0.25">
      <c r="A37" s="757" t="s">
        <v>50</v>
      </c>
      <c r="B37" s="757"/>
      <c r="C37" s="757"/>
      <c r="D37" s="757"/>
      <c r="E37" s="757"/>
      <c r="F37" s="248" t="s">
        <v>48</v>
      </c>
      <c r="G37" s="132">
        <v>707050.5</v>
      </c>
      <c r="H37" s="223" t="s">
        <v>49</v>
      </c>
      <c r="I37" s="38">
        <v>5.4000000000000003E-3</v>
      </c>
      <c r="J37" s="131">
        <f>ROUND(G37*I37,2)</f>
        <v>3818.07</v>
      </c>
      <c r="K37" s="39"/>
      <c r="L37" s="233"/>
      <c r="M37" s="233"/>
      <c r="N37" s="233"/>
      <c r="O37" s="31"/>
      <c r="P37" s="232"/>
      <c r="Q37" s="232"/>
      <c r="R37" s="756" t="s">
        <v>50</v>
      </c>
      <c r="S37" s="756"/>
      <c r="T37" s="756"/>
      <c r="U37" s="253"/>
      <c r="V37" s="172">
        <v>412576.36</v>
      </c>
      <c r="W37" s="239" t="s">
        <v>49</v>
      </c>
      <c r="X37" s="174">
        <v>5.4000000000000003E-3</v>
      </c>
      <c r="Y37" s="266">
        <f>ROUND(V37*X37,2)</f>
        <v>2227.91</v>
      </c>
    </row>
    <row r="38" spans="1:25" ht="20.25" customHeight="1" x14ac:dyDescent="0.25">
      <c r="A38" s="841" t="s">
        <v>51</v>
      </c>
      <c r="B38" s="841"/>
      <c r="C38" s="841"/>
      <c r="D38" s="841"/>
      <c r="E38" s="841"/>
      <c r="F38" s="248" t="s">
        <v>52</v>
      </c>
      <c r="G38" s="40"/>
      <c r="H38" s="223"/>
      <c r="I38" s="41"/>
      <c r="J38" s="131">
        <f>SUM(J36:J37)</f>
        <v>50978.34</v>
      </c>
      <c r="K38" s="39"/>
      <c r="L38" s="233"/>
      <c r="M38" s="233"/>
      <c r="N38" s="233"/>
      <c r="O38" s="31"/>
      <c r="P38" s="232"/>
      <c r="Q38" s="232"/>
      <c r="R38" s="758" t="s">
        <v>51</v>
      </c>
      <c r="S38" s="758"/>
      <c r="T38" s="758"/>
      <c r="U38" s="253" t="s">
        <v>52</v>
      </c>
      <c r="V38" s="175"/>
      <c r="W38" s="239"/>
      <c r="X38" s="176"/>
      <c r="Y38" s="266">
        <f>Y36+Y37</f>
        <v>29746.75</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46">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0.5</v>
      </c>
      <c r="D48" s="414">
        <v>0</v>
      </c>
      <c r="E48" s="847">
        <f t="shared" si="7"/>
        <v>1</v>
      </c>
      <c r="F48" s="847"/>
      <c r="G48" s="47" t="s">
        <v>61</v>
      </c>
      <c r="H48" s="223">
        <v>252</v>
      </c>
      <c r="I48" s="136">
        <f>INDEX('[1]111-112-113 ADDITIONAL FUND'!K$1:K$65536,MATCH($A$1,'[1]111-112-113 ADDITIONAL FUND'!A$1:A$65536))</f>
        <v>3168</v>
      </c>
      <c r="J48" s="137">
        <f t="shared" si="8"/>
        <v>3168</v>
      </c>
      <c r="M48" s="2"/>
      <c r="R48" s="906"/>
      <c r="S48" s="906"/>
      <c r="T48" s="888"/>
      <c r="U48" s="888"/>
      <c r="V48" s="182" t="s">
        <v>61</v>
      </c>
      <c r="W48" s="239">
        <v>252</v>
      </c>
      <c r="X48" s="134">
        <f t="shared" si="9"/>
        <v>3168</v>
      </c>
      <c r="Y48" s="269">
        <f t="shared" si="10"/>
        <v>0</v>
      </c>
    </row>
    <row r="49" spans="1:25" ht="15.75" customHeight="1" thickBot="1" x14ac:dyDescent="0.3">
      <c r="A49" s="846"/>
      <c r="B49" s="846"/>
      <c r="C49" s="414">
        <v>26.15</v>
      </c>
      <c r="D49" s="414">
        <v>0</v>
      </c>
      <c r="E49" s="852">
        <f t="shared" si="7"/>
        <v>52.3</v>
      </c>
      <c r="F49" s="852"/>
      <c r="G49" s="47" t="s">
        <v>61</v>
      </c>
      <c r="H49" s="223">
        <v>253</v>
      </c>
      <c r="I49" s="136">
        <f>INDEX('[1]111-112-113 ADDITIONAL FUND'!L$1:L$65536,MATCH($A$1,'[1]111-112-113 ADDITIONAL FUND'!A$1:A$65536))</f>
        <v>6685</v>
      </c>
      <c r="J49" s="137">
        <f t="shared" si="8"/>
        <v>349625.5</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233">
        <f>SUM(C41:C49)</f>
        <v>26.65</v>
      </c>
      <c r="D50" s="233">
        <f>SUM(D41:D49)</f>
        <v>0</v>
      </c>
      <c r="E50" s="853">
        <f>SUM(E41:E49)</f>
        <v>53.3</v>
      </c>
      <c r="F50" s="853"/>
      <c r="G50" s="839" t="s">
        <v>63</v>
      </c>
      <c r="H50" s="839"/>
      <c r="I50" s="839"/>
      <c r="J50" s="276">
        <f>SUM(J41:J49)</f>
        <v>352793.5</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74.16</v>
      </c>
      <c r="U52" s="184" t="s">
        <v>66</v>
      </c>
      <c r="V52" s="185"/>
      <c r="W52" s="186" t="s">
        <v>67</v>
      </c>
      <c r="X52" s="884">
        <f>I53</f>
        <v>215320.92</v>
      </c>
      <c r="Y52" s="884"/>
    </row>
    <row r="53" spans="1:25" ht="16.5" customHeight="1" x14ac:dyDescent="0.25">
      <c r="A53" s="848" t="s">
        <v>65</v>
      </c>
      <c r="B53" s="848"/>
      <c r="C53" s="237"/>
      <c r="D53" s="237"/>
      <c r="E53" s="48">
        <f>E28</f>
        <v>74.16</v>
      </c>
      <c r="F53" s="49" t="s">
        <v>66</v>
      </c>
      <c r="G53" s="3"/>
      <c r="H53" s="50" t="s">
        <v>67</v>
      </c>
      <c r="I53" s="709">
        <f>INDEX('[1]Detail 2025-26 FEFP Second'!E$1:E$65536,MATCH(A1,'[1]Detail 2025-26 FEFP Second'!A$1:A$65536))</f>
        <v>215320.92</v>
      </c>
      <c r="J53" s="711"/>
      <c r="M53" s="2"/>
      <c r="R53" s="255"/>
      <c r="S53" s="243"/>
      <c r="T53" s="170"/>
      <c r="U53" s="170"/>
      <c r="V53" s="170"/>
      <c r="W53" s="189" t="s">
        <v>68</v>
      </c>
      <c r="X53" s="885">
        <f>ROUND(T52/X52,6)</f>
        <v>3.4400000000000001E-4</v>
      </c>
      <c r="Y53" s="885"/>
    </row>
    <row r="54" spans="1:25" ht="22.5" customHeight="1" x14ac:dyDescent="0.25">
      <c r="A54" s="237"/>
      <c r="B54" s="230"/>
      <c r="C54" s="230"/>
      <c r="D54" s="230"/>
      <c r="H54" s="53" t="s">
        <v>68</v>
      </c>
      <c r="I54" s="849">
        <f>IFERROR(ROUND(E53/I53,6),0)</f>
        <v>3.4400000000000001E-4</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74.16</v>
      </c>
      <c r="U55" s="184" t="s">
        <v>66</v>
      </c>
      <c r="V55" s="185"/>
      <c r="W55" s="186" t="s">
        <v>71</v>
      </c>
      <c r="X55" s="884">
        <f>I56</f>
        <v>229051.25000000003</v>
      </c>
      <c r="Y55" s="884"/>
    </row>
    <row r="56" spans="1:25" ht="16.5" customHeight="1" x14ac:dyDescent="0.25">
      <c r="A56" s="848" t="s">
        <v>70</v>
      </c>
      <c r="B56" s="848"/>
      <c r="C56" s="237"/>
      <c r="D56" s="237"/>
      <c r="E56" s="48">
        <f>G33</f>
        <v>127.09129999999999</v>
      </c>
      <c r="F56" s="49" t="s">
        <v>66</v>
      </c>
      <c r="G56" s="3"/>
      <c r="H56" s="50" t="s">
        <v>71</v>
      </c>
      <c r="I56" s="709">
        <f>INDEX('[1]Detail 2025-26 FEFP Second'!F$1:F$65536,MATCH(A1,'[1]Detail 2025-26 FEFP Second'!A$1:A$65536))</f>
        <v>229051.25000000003</v>
      </c>
      <c r="J56" s="711"/>
      <c r="M56" s="2"/>
      <c r="R56" s="255"/>
      <c r="S56" s="170"/>
      <c r="T56" s="170"/>
      <c r="U56" s="170"/>
      <c r="V56" s="170"/>
      <c r="W56" s="189" t="s">
        <v>68</v>
      </c>
      <c r="X56" s="885">
        <f>ROUND(T55/X55,6)</f>
        <v>3.2400000000000001E-4</v>
      </c>
      <c r="Y56" s="885"/>
    </row>
    <row r="57" spans="1:25" ht="18.75" customHeight="1" x14ac:dyDescent="0.25">
      <c r="A57" s="237"/>
      <c r="H57" s="53" t="s">
        <v>68</v>
      </c>
      <c r="I57" s="849">
        <f>IFERROR(ROUND(E56/I56,6),0)</f>
        <v>5.5500000000000005E-4</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74.16</v>
      </c>
      <c r="U58" s="184" t="s">
        <v>66</v>
      </c>
      <c r="V58" s="883" t="s">
        <v>74</v>
      </c>
      <c r="W58" s="883"/>
      <c r="X58" s="884">
        <f>I59</f>
        <v>186156.17</v>
      </c>
      <c r="Y58" s="884"/>
    </row>
    <row r="59" spans="1:25" ht="18.75" customHeight="1" x14ac:dyDescent="0.25">
      <c r="A59" s="848" t="s">
        <v>73</v>
      </c>
      <c r="B59" s="848"/>
      <c r="C59" s="237"/>
      <c r="D59" s="237"/>
      <c r="E59" s="48">
        <f>E28</f>
        <v>74.16</v>
      </c>
      <c r="F59" s="49" t="s">
        <v>66</v>
      </c>
      <c r="G59" s="934" t="s">
        <v>74</v>
      </c>
      <c r="H59" s="934"/>
      <c r="I59" s="709">
        <f>INDEX('[1]Detail 2025-26 FEFP Second'!H$1:H$65536,MATCH(A1,'[1]Detail 2025-26 FEFP Second'!A$1:A$65536))</f>
        <v>186156.17</v>
      </c>
      <c r="J59" s="711"/>
      <c r="M59" s="2"/>
      <c r="R59" s="255"/>
      <c r="S59" s="170"/>
      <c r="T59" s="170"/>
      <c r="U59" s="170"/>
      <c r="V59" s="170"/>
      <c r="W59" s="189" t="s">
        <v>68</v>
      </c>
      <c r="X59" s="885">
        <f>ROUND(T58/X58,6)</f>
        <v>3.9800000000000002E-4</v>
      </c>
      <c r="Y59" s="885"/>
    </row>
    <row r="60" spans="1:25" ht="18" customHeight="1" x14ac:dyDescent="0.25">
      <c r="A60" s="237"/>
      <c r="H60" s="53" t="s">
        <v>68</v>
      </c>
      <c r="I60" s="849">
        <f>IFERROR(ROUND(E59/I59,6),0)</f>
        <v>3.9800000000000002E-4</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74.16</v>
      </c>
      <c r="U61" s="184" t="s">
        <v>66</v>
      </c>
      <c r="V61" s="883" t="s">
        <v>76</v>
      </c>
      <c r="W61" s="883"/>
      <c r="X61" s="884">
        <f>I62</f>
        <v>215016.58000000002</v>
      </c>
      <c r="Y61" s="884"/>
    </row>
    <row r="62" spans="1:25" x14ac:dyDescent="0.25">
      <c r="A62" s="848" t="s">
        <v>73</v>
      </c>
      <c r="B62" s="848"/>
      <c r="C62" s="237"/>
      <c r="D62" s="237"/>
      <c r="E62" s="48">
        <f>E28</f>
        <v>74.16</v>
      </c>
      <c r="F62" s="49" t="s">
        <v>66</v>
      </c>
      <c r="G62" s="934" t="s">
        <v>76</v>
      </c>
      <c r="H62" s="934"/>
      <c r="I62" s="709">
        <f>INDEX('[1]Detail 2025-26 FEFP Second'!G$1:G$65536,MATCH(A1,'[1]Detail 2025-26 FEFP Second'!A$1:A$65536))</f>
        <v>215016.58000000002</v>
      </c>
      <c r="J62" s="711"/>
      <c r="M62" s="2"/>
      <c r="R62" s="255"/>
      <c r="S62" s="170"/>
      <c r="T62" s="170"/>
      <c r="U62" s="170"/>
      <c r="V62" s="170"/>
      <c r="W62" s="189" t="s">
        <v>68</v>
      </c>
      <c r="X62" s="885">
        <f>ROUND(T61/X61,6)</f>
        <v>3.4499999999999998E-4</v>
      </c>
      <c r="Y62" s="885"/>
    </row>
    <row r="63" spans="1:25" ht="19.5" customHeight="1" x14ac:dyDescent="0.25">
      <c r="A63" s="237"/>
      <c r="H63" s="53" t="s">
        <v>68</v>
      </c>
      <c r="I63" s="849">
        <f>IFERROR(ROUND(E62/I62,6),0)</f>
        <v>3.4499999999999998E-4</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74.16</v>
      </c>
      <c r="U64" s="184" t="s">
        <v>66</v>
      </c>
      <c r="V64" s="937" t="s">
        <v>165</v>
      </c>
      <c r="W64" s="937"/>
      <c r="X64" s="884">
        <f>I65</f>
        <v>185851.83000000002</v>
      </c>
      <c r="Y64" s="884"/>
    </row>
    <row r="65" spans="1:26" ht="49.5" customHeight="1" x14ac:dyDescent="0.25">
      <c r="A65" s="848" t="s">
        <v>73</v>
      </c>
      <c r="B65" s="848"/>
      <c r="C65" s="237"/>
      <c r="D65" s="237"/>
      <c r="E65" s="48">
        <f>E28</f>
        <v>74.16</v>
      </c>
      <c r="F65" s="49" t="s">
        <v>66</v>
      </c>
      <c r="G65" s="934" t="s">
        <v>78</v>
      </c>
      <c r="H65" s="934"/>
      <c r="I65" s="709">
        <f>INDEX('[1]Detail 2025-26 FEFP Second'!I$1:I$65536,MATCH(A1,'[1]Detail 2025-26 FEFP Second'!A$1:A$65536))</f>
        <v>185851.83000000002</v>
      </c>
      <c r="J65" s="711"/>
      <c r="M65" s="2"/>
      <c r="R65" s="190"/>
      <c r="S65" s="170"/>
      <c r="T65" s="170"/>
      <c r="U65" s="170"/>
      <c r="V65" s="170"/>
      <c r="W65" s="189" t="s">
        <v>68</v>
      </c>
      <c r="X65" s="885">
        <f>ROUND(T64/X64,6)</f>
        <v>3.9899999999999999E-4</v>
      </c>
      <c r="Y65" s="885"/>
    </row>
    <row r="66" spans="1:26" ht="19.5" customHeight="1" x14ac:dyDescent="0.25">
      <c r="A66" s="237"/>
      <c r="H66" s="53" t="s">
        <v>68</v>
      </c>
      <c r="I66" s="849">
        <f>IFERROR(ROUND(E65/I65,6),0)</f>
        <v>3.9899999999999999E-4</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3.4499999999999998E-4</v>
      </c>
      <c r="Y67" s="271">
        <f>ROUND(V67*X67,2)</f>
        <v>16315.31</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3.4499999999999998E-4</v>
      </c>
      <c r="J68" s="138">
        <f>ROUND(G68*I68,2)</f>
        <v>16315.31</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3.4400000000000001E-4</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3.4400000000000001E-4</v>
      </c>
      <c r="J70" s="138">
        <f>ROUND(G70*I70,2)</f>
        <v>0</v>
      </c>
      <c r="M70" s="2"/>
      <c r="R70" s="758" t="s">
        <v>167</v>
      </c>
      <c r="S70" s="758"/>
      <c r="T70" s="758"/>
      <c r="U70" s="253"/>
      <c r="V70" s="193">
        <f>G71</f>
        <v>19167881</v>
      </c>
      <c r="W70" s="239" t="s">
        <v>81</v>
      </c>
      <c r="X70" s="176">
        <f>X65</f>
        <v>3.9899999999999999E-4</v>
      </c>
      <c r="Y70" s="266">
        <f t="shared" si="11"/>
        <v>7647.98</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3.9899999999999999E-4</v>
      </c>
      <c r="J71" s="138">
        <f>ROUND(G71*I71,2)</f>
        <v>7647.98</v>
      </c>
      <c r="M71" s="2"/>
      <c r="R71" s="240" t="s">
        <v>168</v>
      </c>
      <c r="S71" s="240"/>
      <c r="T71" s="240"/>
      <c r="U71" s="253"/>
      <c r="V71" s="171">
        <f>G72</f>
        <v>11546889</v>
      </c>
      <c r="W71" s="239" t="s">
        <v>81</v>
      </c>
      <c r="X71" s="176">
        <f>X59</f>
        <v>3.9800000000000002E-4</v>
      </c>
      <c r="Y71" s="266">
        <f t="shared" si="11"/>
        <v>4595.66</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3.9800000000000002E-4</v>
      </c>
      <c r="J72" s="138">
        <f>ROUND(G72*I72,2)</f>
        <v>4595.66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v>0.25</v>
      </c>
      <c r="Z78" s="72"/>
    </row>
    <row r="79" spans="1:26" ht="18.75" customHeight="1" x14ac:dyDescent="0.25">
      <c r="A79" s="762" t="s">
        <v>97</v>
      </c>
      <c r="B79" s="762"/>
      <c r="C79" s="236"/>
      <c r="D79" s="236"/>
      <c r="E79" s="65"/>
      <c r="F79" s="65"/>
      <c r="G79" s="65"/>
      <c r="H79" s="65"/>
      <c r="I79" s="65"/>
      <c r="J79" s="129">
        <v>0.25</v>
      </c>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0.25</v>
      </c>
      <c r="Z80" s="72"/>
    </row>
    <row r="81" spans="1:26" ht="17.25" customHeight="1" x14ac:dyDescent="0.25">
      <c r="A81" s="233"/>
      <c r="B81" s="233"/>
      <c r="C81" s="233"/>
      <c r="D81" s="233"/>
      <c r="E81" s="233"/>
      <c r="F81" s="233"/>
      <c r="G81" s="31"/>
      <c r="H81" s="232"/>
      <c r="I81" s="232" t="s">
        <v>99</v>
      </c>
      <c r="J81" s="74">
        <f>SUM(J75:J80)</f>
        <v>0.25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2.1999999999999999E-5</v>
      </c>
      <c r="Y83" s="266">
        <f>ROUND(V83*X83,2)</f>
        <v>1391.93</v>
      </c>
      <c r="Z83" s="72"/>
    </row>
    <row r="84" spans="1:26" ht="21" customHeight="1" x14ac:dyDescent="0.25">
      <c r="A84" s="817" t="s">
        <v>101</v>
      </c>
      <c r="B84" s="817"/>
      <c r="C84" s="817"/>
      <c r="D84" s="230"/>
      <c r="G84" s="121">
        <f>INDEX('[1]Detail 2025-26 FEFP Second'!O$1:O$65536,MATCH(A1,'[1]Detail 2025-26 FEFP Second'!A$1:A$65536))</f>
        <v>63269727</v>
      </c>
      <c r="H84" s="223" t="s">
        <v>81</v>
      </c>
      <c r="I84" s="41">
        <f>IFERROR(ROUND(J81/J82,6),0)</f>
        <v>2.1999999999999999E-5</v>
      </c>
      <c r="J84" s="138">
        <f>ROUND(G84*I84,2)</f>
        <v>1391.93</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5.5500000000000005E-4</v>
      </c>
      <c r="J85" s="138">
        <f>ROUND(G85*I85,2)</f>
        <v>149193.03</v>
      </c>
      <c r="K85" s="70"/>
      <c r="L85" s="70"/>
      <c r="M85" s="71"/>
      <c r="N85" s="70"/>
      <c r="O85" s="70"/>
      <c r="P85" s="70"/>
      <c r="Q85" s="70"/>
      <c r="R85" s="758" t="s">
        <v>172</v>
      </c>
      <c r="S85" s="758"/>
      <c r="T85" s="758"/>
      <c r="U85" s="253"/>
      <c r="V85" s="171">
        <f>G85</f>
        <v>268816278</v>
      </c>
      <c r="W85" s="239" t="s">
        <v>81</v>
      </c>
      <c r="X85" s="176">
        <f>X56</f>
        <v>3.2400000000000001E-4</v>
      </c>
      <c r="Y85" s="266">
        <f t="shared" ref="Y85:Y87" si="12">ROUND(V85*X85,2)</f>
        <v>87096.47</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5.5500000000000005E-4</v>
      </c>
      <c r="J86" s="138">
        <f>ROUND(G86*I86,2)</f>
        <v>0</v>
      </c>
      <c r="K86" s="70"/>
      <c r="L86" s="71"/>
      <c r="M86" s="76"/>
      <c r="N86" s="76"/>
      <c r="O86" s="76"/>
      <c r="P86" s="76"/>
      <c r="Q86" s="70"/>
      <c r="R86" s="758" t="s">
        <v>173</v>
      </c>
      <c r="S86" s="758"/>
      <c r="T86" s="758"/>
      <c r="U86" s="253"/>
      <c r="V86" s="203">
        <f>G86</f>
        <v>0</v>
      </c>
      <c r="W86" s="239" t="s">
        <v>81</v>
      </c>
      <c r="X86" s="176">
        <f>X56</f>
        <v>3.2400000000000001E-4</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3.4400000000000001E-4</v>
      </c>
      <c r="J87" s="62">
        <f>ROUND(G87*I87,2)</f>
        <v>0</v>
      </c>
      <c r="K87" s="77"/>
      <c r="L87" s="70"/>
      <c r="M87" s="71"/>
      <c r="N87" s="70"/>
      <c r="O87" s="70"/>
      <c r="P87" s="70"/>
      <c r="Q87" s="70"/>
      <c r="R87" s="240" t="s">
        <v>174</v>
      </c>
      <c r="S87" s="240"/>
      <c r="T87" s="240"/>
      <c r="U87" s="253"/>
      <c r="V87" s="203">
        <f>G87</f>
        <v>0</v>
      </c>
      <c r="W87" s="239" t="s">
        <v>81</v>
      </c>
      <c r="X87" s="176">
        <f>X53</f>
        <v>3.4400000000000001E-4</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141">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0</v>
      </c>
      <c r="C91" s="245"/>
      <c r="D91" s="915">
        <f>I6</f>
        <v>1.0355000000000001</v>
      </c>
      <c r="E91" s="915"/>
      <c r="F91" s="915"/>
      <c r="G91" s="122">
        <f>'[1]Detail 2025-26 FEFP Second'!AC3</f>
        <v>915.09</v>
      </c>
      <c r="H91" s="47" t="s">
        <v>68</v>
      </c>
      <c r="I91" s="140">
        <f>ROUND(B91*D91*G91,2)</f>
        <v>0</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127.09129999999999</v>
      </c>
      <c r="C92" s="109"/>
      <c r="D92" s="915">
        <f>I6</f>
        <v>1.0355000000000001</v>
      </c>
      <c r="E92" s="915"/>
      <c r="F92" s="915"/>
      <c r="G92" s="122">
        <f>'[1]Detail 2025-26 FEFP Second'!AD3</f>
        <v>917.3</v>
      </c>
      <c r="H92" s="47" t="s">
        <v>68</v>
      </c>
      <c r="I92" s="574">
        <f>ROUND(B92*D92*G92,2)</f>
        <v>120719.47</v>
      </c>
      <c r="K92" s="70"/>
      <c r="L92" s="70"/>
      <c r="M92" s="71"/>
      <c r="N92" s="70"/>
      <c r="O92" s="70"/>
      <c r="P92" s="70"/>
      <c r="Q92" s="70"/>
      <c r="R92" s="207" t="s">
        <v>61</v>
      </c>
      <c r="S92" s="208">
        <f>X16+X17+X20+X23+X26+X27</f>
        <v>74.16</v>
      </c>
      <c r="T92" s="870">
        <f>X6</f>
        <v>1.0355000000000001</v>
      </c>
      <c r="U92" s="870"/>
      <c r="V92" s="122">
        <f>G92</f>
        <v>917.3</v>
      </c>
      <c r="W92" s="182" t="s">
        <v>68</v>
      </c>
      <c r="X92" s="272">
        <f>ROUND(S92*T92*V92,2)</f>
        <v>70441.929999999993</v>
      </c>
      <c r="Y92" s="170"/>
    </row>
    <row r="93" spans="1:26" ht="18.75" customHeight="1" thickBot="1" x14ac:dyDescent="0.3">
      <c r="A93" s="247" t="s">
        <v>111</v>
      </c>
      <c r="B93" s="109">
        <f>SUM(B90:B92)</f>
        <v>127.09129999999999</v>
      </c>
      <c r="C93" s="109"/>
      <c r="D93" s="109"/>
      <c r="E93" s="867" t="s">
        <v>112</v>
      </c>
      <c r="F93" s="867"/>
      <c r="G93" s="867"/>
      <c r="H93" s="867"/>
      <c r="I93" s="867"/>
      <c r="J93" s="127">
        <f>IF(A1=75,0,I92+I91+I90)</f>
        <v>120719.47</v>
      </c>
      <c r="K93" s="70"/>
      <c r="L93" s="70"/>
      <c r="M93" s="71"/>
      <c r="N93" s="70"/>
      <c r="O93" s="70"/>
      <c r="P93" s="70"/>
      <c r="Q93" s="70"/>
      <c r="R93" s="252" t="s">
        <v>111</v>
      </c>
      <c r="S93" s="210">
        <f>SUM(S90:S92)</f>
        <v>74.16</v>
      </c>
      <c r="T93" s="874" t="s">
        <v>112</v>
      </c>
      <c r="U93" s="875"/>
      <c r="V93" s="875"/>
      <c r="W93" s="875"/>
      <c r="X93" s="875"/>
      <c r="Y93" s="266">
        <f>IF(R1=75,0,X92+X91+X90)</f>
        <v>70441.929999999993</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35</v>
      </c>
      <c r="U96" s="872"/>
      <c r="V96" s="872"/>
      <c r="W96" s="261" t="s">
        <v>117</v>
      </c>
      <c r="X96" s="212">
        <f>I97</f>
        <v>617</v>
      </c>
      <c r="Y96" s="266">
        <f>ROUND(X96*T96,2)</f>
        <v>21595</v>
      </c>
    </row>
    <row r="97" spans="1:25" ht="17.25" customHeight="1" x14ac:dyDescent="0.25">
      <c r="A97" s="839" t="s">
        <v>116</v>
      </c>
      <c r="B97" s="839"/>
      <c r="C97" s="279">
        <v>36</v>
      </c>
      <c r="D97" s="279">
        <v>34</v>
      </c>
      <c r="E97" s="871">
        <f>(C97+D97)/2</f>
        <v>35</v>
      </c>
      <c r="F97" s="871"/>
      <c r="G97" s="871"/>
      <c r="H97" s="224" t="s">
        <v>117</v>
      </c>
      <c r="I97" s="130">
        <f>IF(A1&gt;67,0,INDEX('[1]Transportation Per Student'!F$1:F$65536,MATCH(A1,'[1]Transportation Per Student'!B$1:B$65536)))</f>
        <v>617</v>
      </c>
      <c r="J97" s="138">
        <f>ROUND(I97*E97,2)</f>
        <v>21595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c r="E98" s="873">
        <f>(C98+D98)/2</f>
        <v>0</v>
      </c>
      <c r="F98" s="873"/>
      <c r="G98" s="873"/>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839" t="s">
        <v>125</v>
      </c>
      <c r="B107" s="839"/>
      <c r="C107" s="839"/>
      <c r="D107" s="839"/>
      <c r="E107" s="839"/>
      <c r="F107" s="839"/>
      <c r="G107" s="839"/>
      <c r="H107" s="839"/>
      <c r="I107" s="839"/>
      <c r="J107" s="95">
        <f>SUM(J106,J105,J98,J97,J93,J86,J85,J71,J70,J68,J33,J72,J50,J87,J84)</f>
        <v>1381302.3800000001</v>
      </c>
      <c r="L107" s="575"/>
      <c r="R107" s="758" t="s">
        <v>125</v>
      </c>
      <c r="S107" s="758"/>
      <c r="T107" s="758"/>
      <c r="U107" s="758"/>
      <c r="V107" s="758"/>
      <c r="W107" s="758"/>
      <c r="X107" s="758"/>
      <c r="Y107" s="219">
        <f>SUM(Y106,Y105,Y97,Y96,Y93,Y86,Y85,Y84,Y70,Y69,Y67,Y33,Y71,Y50,Y87,Y83)</f>
        <v>621660.64000000013</v>
      </c>
    </row>
    <row r="108" spans="1:25" ht="15.75" customHeight="1" thickTop="1" x14ac:dyDescent="0.25">
      <c r="A108" s="817"/>
      <c r="B108" s="817"/>
      <c r="C108" s="817"/>
      <c r="D108" s="817"/>
      <c r="E108" s="817"/>
      <c r="F108" s="817"/>
      <c r="G108" s="817"/>
      <c r="H108" s="817"/>
      <c r="I108" s="817"/>
      <c r="J108" s="817"/>
      <c r="R108" s="855"/>
      <c r="S108" s="855"/>
      <c r="T108" s="855"/>
      <c r="U108" s="855"/>
      <c r="V108" s="855"/>
      <c r="W108" s="855"/>
      <c r="X108" s="855"/>
      <c r="Y108" s="855"/>
    </row>
    <row r="109" spans="1:25" ht="17.25" customHeight="1" thickBot="1" x14ac:dyDescent="0.3">
      <c r="A109" s="841" t="s">
        <v>131</v>
      </c>
      <c r="B109" s="841"/>
      <c r="C109" s="841"/>
      <c r="D109" s="841"/>
      <c r="E109" s="841"/>
      <c r="F109" s="817"/>
      <c r="G109" s="817"/>
      <c r="H109" s="817"/>
      <c r="I109" s="2" t="s">
        <v>132</v>
      </c>
      <c r="J109" s="96">
        <f>J107-J38</f>
        <v>1330324.04</v>
      </c>
      <c r="R109" s="170" t="s">
        <v>180</v>
      </c>
      <c r="S109" s="170"/>
      <c r="T109" s="170"/>
      <c r="U109" s="170"/>
      <c r="V109" s="170"/>
      <c r="W109" s="170"/>
      <c r="X109" s="170"/>
      <c r="Y109" s="220">
        <f>Y107-Y38</f>
        <v>591913.89000000013</v>
      </c>
    </row>
    <row r="110" spans="1:25" ht="18.75" customHeight="1" thickTop="1" x14ac:dyDescent="0.25">
      <c r="A110" s="841" t="s">
        <v>133</v>
      </c>
      <c r="B110" s="841"/>
      <c r="C110" s="841"/>
      <c r="D110" s="841"/>
      <c r="E110" s="841"/>
      <c r="F110" s="841"/>
      <c r="G110" s="841"/>
      <c r="H110" s="841"/>
      <c r="I110" s="235" t="s">
        <v>134</v>
      </c>
      <c r="J110" s="72"/>
      <c r="R110" s="851" t="s">
        <v>136</v>
      </c>
      <c r="S110" s="851"/>
      <c r="T110" s="851"/>
      <c r="U110" s="851"/>
      <c r="V110" s="851"/>
      <c r="W110" s="851"/>
      <c r="X110" s="851"/>
      <c r="Y110" s="851"/>
    </row>
    <row r="111" spans="1:25" ht="15.75" customHeight="1" x14ac:dyDescent="0.25">
      <c r="A111" s="848" t="s">
        <v>135</v>
      </c>
      <c r="B111" s="848"/>
      <c r="C111" s="848"/>
      <c r="D111" s="848"/>
      <c r="E111" s="848"/>
      <c r="F111" s="848"/>
      <c r="G111" s="848"/>
      <c r="H111" s="848"/>
      <c r="I111" s="280">
        <v>1</v>
      </c>
      <c r="J111" s="46">
        <f>Y109</f>
        <v>591913.89000000013</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601"/>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716"/>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7">
        <f>IF(I111=1,J111,J109)</f>
        <v>591913.89000000013</v>
      </c>
      <c r="J114" s="718">
        <f>ROUND(IF(E28=0,0,IF(E28&gt;250,-(((250/E28)*I114)*IF(H113="H",0.02,0.05)),IF(H113="H",-0.02*I114,-0.05*I114))),2)</f>
        <v>-29595.69</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1351706.6900000002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9"/>
      <c r="I118" s="720"/>
      <c r="J118" s="725">
        <f>-'Cumulative Payments'!R74</f>
        <v>-224762.7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1126943.9900000002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112694.39999999999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G59:H59"/>
    <mergeCell ref="X59:Y59"/>
    <mergeCell ref="I60:J60"/>
    <mergeCell ref="R60:Y60"/>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G62:H62"/>
    <mergeCell ref="X62:Y62"/>
    <mergeCell ref="A68:E68"/>
    <mergeCell ref="R68:S68"/>
    <mergeCell ref="A69:B69"/>
    <mergeCell ref="R69:T69"/>
    <mergeCell ref="A70:E70"/>
    <mergeCell ref="R70:T70"/>
    <mergeCell ref="A65:B65"/>
    <mergeCell ref="G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0017-8300-4415-9334-B0335F4A03A8}">
  <dimension ref="A1:Z207"/>
  <sheetViews>
    <sheetView topLeftCell="A100" workbookViewId="0">
      <selection activeCell="L123" sqref="L123"/>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441</v>
      </c>
      <c r="B2" s="102"/>
      <c r="C2" s="102"/>
      <c r="D2" s="102"/>
      <c r="E2" s="100"/>
      <c r="F2" s="100"/>
      <c r="G2" s="100"/>
      <c r="H2" s="100"/>
      <c r="I2" s="100"/>
      <c r="J2" s="100"/>
      <c r="K2" s="6"/>
      <c r="L2" s="6"/>
      <c r="M2" s="6"/>
      <c r="N2" s="6"/>
      <c r="O2" s="6"/>
      <c r="P2" s="6"/>
      <c r="Q2" s="6"/>
      <c r="R2" s="920" t="str">
        <f>Revenue_Estimate_Worksheet_for___________Charter_School</f>
        <v>Revenue Estimate Worksheet: Bodwell Academy - 2531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Second'!$C$1:$C$65536,MATCH('2531'!$A$1,'[1]Detail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Second'!$D$1:$D$65536,MATCH('2531'!$A$1,'[1]Detail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9.5</v>
      </c>
      <c r="D17" s="414">
        <v>0</v>
      </c>
      <c r="E17" s="832">
        <f t="shared" si="0"/>
        <v>19</v>
      </c>
      <c r="F17" s="832"/>
      <c r="G17" s="833">
        <v>0.97199999999999998</v>
      </c>
      <c r="H17" s="833"/>
      <c r="I17" s="577">
        <f t="shared" si="2"/>
        <v>18.468</v>
      </c>
      <c r="J17" s="578">
        <f t="shared" si="1"/>
        <v>102743.53</v>
      </c>
      <c r="M17" s="2"/>
      <c r="R17" s="756" t="s">
        <v>25</v>
      </c>
      <c r="S17" s="756"/>
      <c r="T17" s="897">
        <f t="shared" si="3"/>
        <v>19</v>
      </c>
      <c r="U17" s="897"/>
      <c r="V17" s="896">
        <v>1</v>
      </c>
      <c r="W17" s="896"/>
      <c r="X17" s="156">
        <f t="shared" si="4"/>
        <v>19</v>
      </c>
      <c r="Y17" s="266">
        <f t="shared" si="6"/>
        <v>105703.22</v>
      </c>
    </row>
    <row r="18" spans="1:25" x14ac:dyDescent="0.25">
      <c r="A18" s="757" t="s">
        <v>26</v>
      </c>
      <c r="B18" s="757"/>
      <c r="C18" s="414">
        <v>0.5</v>
      </c>
      <c r="D18" s="414">
        <v>0</v>
      </c>
      <c r="E18" s="832">
        <f t="shared" si="0"/>
        <v>1</v>
      </c>
      <c r="F18" s="832"/>
      <c r="G18" s="833">
        <v>3.609</v>
      </c>
      <c r="H18" s="833"/>
      <c r="I18" s="577">
        <f t="shared" si="2"/>
        <v>3.609</v>
      </c>
      <c r="J18" s="578">
        <f t="shared" si="1"/>
        <v>20078.05</v>
      </c>
      <c r="M18" s="2"/>
      <c r="R18" s="756" t="s">
        <v>26</v>
      </c>
      <c r="S18" s="756"/>
      <c r="T18" s="897">
        <f t="shared" si="3"/>
        <v>1</v>
      </c>
      <c r="U18" s="897"/>
      <c r="V18" s="896">
        <v>1</v>
      </c>
      <c r="W18" s="896"/>
      <c r="X18" s="156">
        <f t="shared" si="4"/>
        <v>1</v>
      </c>
      <c r="Y18" s="266">
        <f t="shared" si="6"/>
        <v>5563.33</v>
      </c>
    </row>
    <row r="19" spans="1:25" x14ac:dyDescent="0.25">
      <c r="A19" s="757" t="s">
        <v>27</v>
      </c>
      <c r="B19" s="757"/>
      <c r="C19" s="414">
        <v>1</v>
      </c>
      <c r="D19" s="414">
        <v>0</v>
      </c>
      <c r="E19" s="832">
        <f t="shared" si="0"/>
        <v>2</v>
      </c>
      <c r="F19" s="832"/>
      <c r="G19" s="833">
        <v>3.609</v>
      </c>
      <c r="H19" s="833"/>
      <c r="I19" s="577">
        <f t="shared" si="2"/>
        <v>7.218</v>
      </c>
      <c r="J19" s="578">
        <f t="shared" si="1"/>
        <v>40156.1</v>
      </c>
      <c r="M19" s="2"/>
      <c r="R19" s="756" t="s">
        <v>27</v>
      </c>
      <c r="S19" s="756"/>
      <c r="T19" s="897">
        <f t="shared" si="3"/>
        <v>2</v>
      </c>
      <c r="U19" s="897"/>
      <c r="V19" s="896">
        <v>1</v>
      </c>
      <c r="W19" s="896"/>
      <c r="X19" s="156">
        <f t="shared" si="4"/>
        <v>2</v>
      </c>
      <c r="Y19" s="266">
        <f t="shared" si="6"/>
        <v>11126.65</v>
      </c>
    </row>
    <row r="20" spans="1:25" x14ac:dyDescent="0.25">
      <c r="A20" s="757" t="s">
        <v>28</v>
      </c>
      <c r="B20" s="757"/>
      <c r="C20" s="414">
        <v>1</v>
      </c>
      <c r="D20" s="414">
        <v>0</v>
      </c>
      <c r="E20" s="832">
        <f t="shared" si="0"/>
        <v>2</v>
      </c>
      <c r="F20" s="832"/>
      <c r="G20" s="833">
        <v>3.609</v>
      </c>
      <c r="H20" s="833"/>
      <c r="I20" s="577">
        <f t="shared" si="2"/>
        <v>7.218</v>
      </c>
      <c r="J20" s="578">
        <f t="shared" si="1"/>
        <v>40156.1</v>
      </c>
      <c r="M20" s="2"/>
      <c r="R20" s="756" t="s">
        <v>28</v>
      </c>
      <c r="S20" s="756"/>
      <c r="T20" s="897">
        <f t="shared" si="3"/>
        <v>2</v>
      </c>
      <c r="U20" s="897"/>
      <c r="V20" s="896">
        <v>1</v>
      </c>
      <c r="W20" s="896"/>
      <c r="X20" s="156">
        <f t="shared" si="4"/>
        <v>2</v>
      </c>
      <c r="Y20" s="266">
        <f t="shared" si="6"/>
        <v>11126.65</v>
      </c>
    </row>
    <row r="21" spans="1:25" ht="15" customHeight="1" x14ac:dyDescent="0.25">
      <c r="A21" s="757" t="s">
        <v>29</v>
      </c>
      <c r="B21" s="757"/>
      <c r="C21" s="414">
        <v>4</v>
      </c>
      <c r="D21" s="414">
        <v>0</v>
      </c>
      <c r="E21" s="832">
        <f t="shared" si="0"/>
        <v>8</v>
      </c>
      <c r="F21" s="832"/>
      <c r="G21" s="833">
        <v>6.0640000000000001</v>
      </c>
      <c r="H21" s="833"/>
      <c r="I21" s="577">
        <f t="shared" si="2"/>
        <v>48.512</v>
      </c>
      <c r="J21" s="578">
        <f t="shared" si="1"/>
        <v>269888.13</v>
      </c>
      <c r="M21" s="2"/>
      <c r="R21" s="756" t="s">
        <v>29</v>
      </c>
      <c r="S21" s="756"/>
      <c r="T21" s="897">
        <f t="shared" si="3"/>
        <v>8</v>
      </c>
      <c r="U21" s="897"/>
      <c r="V21" s="896">
        <v>1</v>
      </c>
      <c r="W21" s="896"/>
      <c r="X21" s="156">
        <f t="shared" si="4"/>
        <v>8</v>
      </c>
      <c r="Y21" s="266">
        <f t="shared" si="6"/>
        <v>44506.62</v>
      </c>
    </row>
    <row r="22" spans="1:25" ht="15" customHeight="1" x14ac:dyDescent="0.25">
      <c r="A22" s="757" t="s">
        <v>30</v>
      </c>
      <c r="B22" s="757"/>
      <c r="C22" s="414">
        <v>3.5</v>
      </c>
      <c r="D22" s="414">
        <v>0</v>
      </c>
      <c r="E22" s="832">
        <f t="shared" si="0"/>
        <v>7</v>
      </c>
      <c r="F22" s="832"/>
      <c r="G22" s="833">
        <v>6.0640000000000001</v>
      </c>
      <c r="H22" s="833"/>
      <c r="I22" s="577">
        <f t="shared" si="2"/>
        <v>42.448</v>
      </c>
      <c r="J22" s="578">
        <f t="shared" si="1"/>
        <v>236152.12</v>
      </c>
      <c r="M22" s="2"/>
      <c r="R22" s="756" t="s">
        <v>30</v>
      </c>
      <c r="S22" s="756"/>
      <c r="T22" s="897">
        <f t="shared" si="3"/>
        <v>7</v>
      </c>
      <c r="U22" s="897"/>
      <c r="V22" s="896">
        <v>1</v>
      </c>
      <c r="W22" s="896"/>
      <c r="X22" s="156">
        <f t="shared" si="4"/>
        <v>7</v>
      </c>
      <c r="Y22" s="266">
        <f t="shared" si="6"/>
        <v>38943.29</v>
      </c>
    </row>
    <row r="23" spans="1:25" ht="15" customHeight="1" x14ac:dyDescent="0.25">
      <c r="A23" s="757" t="s">
        <v>31</v>
      </c>
      <c r="B23" s="757"/>
      <c r="C23" s="414">
        <v>5</v>
      </c>
      <c r="D23" s="414">
        <v>0</v>
      </c>
      <c r="E23" s="832">
        <f t="shared" si="0"/>
        <v>10</v>
      </c>
      <c r="F23" s="832"/>
      <c r="G23" s="833">
        <v>6.0640000000000001</v>
      </c>
      <c r="H23" s="833"/>
      <c r="I23" s="577">
        <f t="shared" si="2"/>
        <v>60.64</v>
      </c>
      <c r="J23" s="578">
        <f t="shared" si="1"/>
        <v>337360.17</v>
      </c>
      <c r="M23" s="2"/>
      <c r="R23" s="756" t="s">
        <v>31</v>
      </c>
      <c r="S23" s="756"/>
      <c r="T23" s="897">
        <f t="shared" si="3"/>
        <v>10</v>
      </c>
      <c r="U23" s="897"/>
      <c r="V23" s="896">
        <v>1</v>
      </c>
      <c r="W23" s="896"/>
      <c r="X23" s="156">
        <f t="shared" si="4"/>
        <v>10</v>
      </c>
      <c r="Y23" s="266">
        <f t="shared" si="6"/>
        <v>55633.27</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712">
        <f>SUM(C12:C27)</f>
        <v>24.5</v>
      </c>
      <c r="D28" s="126">
        <f>SUM(D12:D27)</f>
        <v>0</v>
      </c>
      <c r="E28" s="837">
        <f>SUM(E12:E27)</f>
        <v>49</v>
      </c>
      <c r="F28" s="837"/>
      <c r="G28" s="838"/>
      <c r="H28" s="838"/>
      <c r="I28" s="23">
        <f>SUM(I12:I27)</f>
        <v>188.113</v>
      </c>
      <c r="J28" s="127">
        <f>SUM(J12:J27)</f>
        <v>1046534.2</v>
      </c>
      <c r="M28" s="2"/>
      <c r="R28" s="899" t="s">
        <v>36</v>
      </c>
      <c r="S28" s="899"/>
      <c r="T28" s="900">
        <f>SUM(T12:T27)</f>
        <v>49</v>
      </c>
      <c r="U28" s="900"/>
      <c r="V28" s="901"/>
      <c r="W28" s="901"/>
      <c r="X28" s="158">
        <f>SUM(X12:X27)</f>
        <v>49</v>
      </c>
      <c r="Y28" s="266">
        <f>SUM(Y12:Y27)</f>
        <v>272603.03000000003</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188.113</v>
      </c>
      <c r="H33" s="838" t="s">
        <v>45</v>
      </c>
      <c r="I33" s="838"/>
      <c r="J33" s="32">
        <f>SUM(J32,J28)</f>
        <v>1046534.2</v>
      </c>
      <c r="M33" s="2"/>
      <c r="R33" s="854" t="s">
        <v>44</v>
      </c>
      <c r="S33" s="854"/>
      <c r="T33" s="854"/>
      <c r="U33" s="854"/>
      <c r="V33" s="164">
        <f>V32+X28</f>
        <v>49</v>
      </c>
      <c r="W33" s="901" t="s">
        <v>45</v>
      </c>
      <c r="X33" s="901"/>
      <c r="Y33" s="165">
        <f>SUM(Y32,Y28)</f>
        <v>272603.03000000003</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1046534.2</v>
      </c>
      <c r="H36" s="223" t="s">
        <v>49</v>
      </c>
      <c r="I36" s="38">
        <v>6.6699999999999995E-2</v>
      </c>
      <c r="J36" s="131">
        <f>ROUND(G36*I36,2)</f>
        <v>69803.83</v>
      </c>
      <c r="K36" s="39"/>
      <c r="L36" s="233"/>
      <c r="M36" s="233"/>
      <c r="N36" s="233"/>
      <c r="O36" s="31"/>
      <c r="P36" s="232"/>
      <c r="Q36" s="232"/>
      <c r="R36" s="756" t="s">
        <v>47</v>
      </c>
      <c r="S36" s="756"/>
      <c r="T36" s="756"/>
      <c r="U36" s="253"/>
      <c r="V36" s="172">
        <v>272603.03000000003</v>
      </c>
      <c r="W36" s="239" t="s">
        <v>49</v>
      </c>
      <c r="X36" s="174">
        <v>6.6699999999999995E-2</v>
      </c>
      <c r="Y36" s="266">
        <f>ROUND(V36*X36,2)</f>
        <v>18182.62</v>
      </c>
    </row>
    <row r="37" spans="1:25" ht="20.25" customHeight="1" x14ac:dyDescent="0.25">
      <c r="A37" s="757" t="s">
        <v>50</v>
      </c>
      <c r="B37" s="757"/>
      <c r="C37" s="757"/>
      <c r="D37" s="757"/>
      <c r="E37" s="757"/>
      <c r="F37" s="248" t="s">
        <v>48</v>
      </c>
      <c r="G37" s="132">
        <v>1046534.2</v>
      </c>
      <c r="H37" s="223" t="s">
        <v>49</v>
      </c>
      <c r="I37" s="38">
        <v>5.4000000000000003E-3</v>
      </c>
      <c r="J37" s="131">
        <f>ROUND(G37*I37,2)</f>
        <v>5651.28</v>
      </c>
      <c r="K37" s="39"/>
      <c r="L37" s="233"/>
      <c r="M37" s="233"/>
      <c r="N37" s="233"/>
      <c r="O37" s="31"/>
      <c r="P37" s="232"/>
      <c r="Q37" s="232"/>
      <c r="R37" s="756" t="s">
        <v>50</v>
      </c>
      <c r="S37" s="756"/>
      <c r="T37" s="756"/>
      <c r="U37" s="253"/>
      <c r="V37" s="172">
        <v>272603.03000000003</v>
      </c>
      <c r="W37" s="239" t="s">
        <v>49</v>
      </c>
      <c r="X37" s="174">
        <v>5.4000000000000003E-3</v>
      </c>
      <c r="Y37" s="266">
        <f>ROUND(V37*X37,2)</f>
        <v>1472.06</v>
      </c>
    </row>
    <row r="38" spans="1:25" ht="20.25" customHeight="1" x14ac:dyDescent="0.25">
      <c r="A38" s="841" t="s">
        <v>51</v>
      </c>
      <c r="B38" s="841"/>
      <c r="C38" s="841"/>
      <c r="D38" s="841"/>
      <c r="E38" s="841"/>
      <c r="F38" s="248" t="s">
        <v>52</v>
      </c>
      <c r="G38" s="40"/>
      <c r="H38" s="223"/>
      <c r="I38" s="41"/>
      <c r="J38" s="131">
        <f>SUM(J36:J37)</f>
        <v>75455.11</v>
      </c>
      <c r="K38" s="39"/>
      <c r="L38" s="233"/>
      <c r="M38" s="233"/>
      <c r="N38" s="233"/>
      <c r="O38" s="31"/>
      <c r="P38" s="232"/>
      <c r="Q38" s="232"/>
      <c r="R38" s="758" t="s">
        <v>51</v>
      </c>
      <c r="S38" s="758"/>
      <c r="T38" s="758"/>
      <c r="U38" s="253" t="s">
        <v>52</v>
      </c>
      <c r="V38" s="175"/>
      <c r="W38" s="239"/>
      <c r="X38" s="176"/>
      <c r="Y38" s="157">
        <f>Y36+Y37</f>
        <v>19654.68</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46">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1</v>
      </c>
      <c r="D48" s="414">
        <v>0</v>
      </c>
      <c r="E48" s="847">
        <f t="shared" si="7"/>
        <v>2</v>
      </c>
      <c r="F48" s="847"/>
      <c r="G48" s="47" t="s">
        <v>61</v>
      </c>
      <c r="H48" s="223">
        <v>252</v>
      </c>
      <c r="I48" s="136">
        <f>INDEX('[1]111-112-113 ADDITIONAL FUND'!K$1:K$65536,MATCH($A$1,'[1]111-112-113 ADDITIONAL FUND'!A$1:A$65536))</f>
        <v>3168</v>
      </c>
      <c r="J48" s="46">
        <f t="shared" si="8"/>
        <v>6336</v>
      </c>
      <c r="M48" s="2"/>
      <c r="R48" s="906"/>
      <c r="S48" s="906"/>
      <c r="T48" s="888"/>
      <c r="U48" s="888"/>
      <c r="V48" s="182" t="s">
        <v>61</v>
      </c>
      <c r="W48" s="239">
        <v>252</v>
      </c>
      <c r="X48" s="134">
        <f t="shared" si="9"/>
        <v>3168</v>
      </c>
      <c r="Y48" s="269">
        <f t="shared" si="10"/>
        <v>0</v>
      </c>
    </row>
    <row r="49" spans="1:25" ht="15.75" customHeight="1" thickBot="1" x14ac:dyDescent="0.3">
      <c r="A49" s="846"/>
      <c r="B49" s="846"/>
      <c r="C49" s="414">
        <v>8.5</v>
      </c>
      <c r="D49" s="414">
        <v>0</v>
      </c>
      <c r="E49" s="852">
        <f t="shared" si="7"/>
        <v>17</v>
      </c>
      <c r="F49" s="852"/>
      <c r="G49" s="47" t="s">
        <v>61</v>
      </c>
      <c r="H49" s="223">
        <v>253</v>
      </c>
      <c r="I49" s="136">
        <f>INDEX('[1]111-112-113 ADDITIONAL FUND'!L$1:L$65536,MATCH($A$1,'[1]111-112-113 ADDITIONAL FUND'!A$1:A$65536))</f>
        <v>6685</v>
      </c>
      <c r="J49" s="46">
        <f t="shared" si="8"/>
        <v>113645</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233">
        <f>SUM(C41:C49)</f>
        <v>9.5</v>
      </c>
      <c r="D50" s="233">
        <f>SUM(D41:D49)</f>
        <v>0</v>
      </c>
      <c r="E50" s="853">
        <f>SUM(E41:E49)</f>
        <v>19</v>
      </c>
      <c r="F50" s="853"/>
      <c r="G50" s="839" t="s">
        <v>63</v>
      </c>
      <c r="H50" s="839"/>
      <c r="I50" s="839"/>
      <c r="J50" s="276">
        <f>SUM(J41:J49)</f>
        <v>119981</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49</v>
      </c>
      <c r="U52" s="184" t="s">
        <v>66</v>
      </c>
      <c r="V52" s="185"/>
      <c r="W52" s="186" t="s">
        <v>67</v>
      </c>
      <c r="X52" s="884">
        <f>I53</f>
        <v>215320.92</v>
      </c>
      <c r="Y52" s="884"/>
    </row>
    <row r="53" spans="1:25" ht="16.5" customHeight="1" x14ac:dyDescent="0.25">
      <c r="A53" s="848" t="s">
        <v>65</v>
      </c>
      <c r="B53" s="848"/>
      <c r="C53" s="237"/>
      <c r="D53" s="237"/>
      <c r="E53" s="48">
        <f>E28</f>
        <v>49</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2.2800000000000001E-4</v>
      </c>
      <c r="Y53" s="885"/>
    </row>
    <row r="54" spans="1:25" ht="22.5" customHeight="1" x14ac:dyDescent="0.25">
      <c r="A54" s="237"/>
      <c r="B54" s="230"/>
      <c r="C54" s="230"/>
      <c r="D54" s="230"/>
      <c r="H54" s="53" t="s">
        <v>68</v>
      </c>
      <c r="I54" s="849">
        <f>IFERROR(ROUND(E53/I53,6),0)</f>
        <v>2.2800000000000001E-4</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49</v>
      </c>
      <c r="U55" s="184" t="s">
        <v>66</v>
      </c>
      <c r="V55" s="185"/>
      <c r="W55" s="186" t="s">
        <v>71</v>
      </c>
      <c r="X55" s="884">
        <f>I56</f>
        <v>229051.25000000003</v>
      </c>
      <c r="Y55" s="884"/>
    </row>
    <row r="56" spans="1:25" ht="16.5" customHeight="1" x14ac:dyDescent="0.25">
      <c r="A56" s="848" t="s">
        <v>70</v>
      </c>
      <c r="B56" s="848"/>
      <c r="C56" s="237"/>
      <c r="D56" s="237"/>
      <c r="E56" s="48">
        <f>G33</f>
        <v>188.113</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2.14E-4</v>
      </c>
      <c r="Y56" s="885"/>
    </row>
    <row r="57" spans="1:25" ht="18.75" customHeight="1" x14ac:dyDescent="0.25">
      <c r="A57" s="237"/>
      <c r="H57" s="53" t="s">
        <v>68</v>
      </c>
      <c r="I57" s="849">
        <f>IFERROR(ROUND(E56/I56,6),0)</f>
        <v>8.2100000000000001E-4</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49</v>
      </c>
      <c r="U58" s="184" t="s">
        <v>66</v>
      </c>
      <c r="V58" s="883" t="s">
        <v>74</v>
      </c>
      <c r="W58" s="883"/>
      <c r="X58" s="884">
        <f>I59</f>
        <v>186156.17</v>
      </c>
      <c r="Y58" s="884"/>
    </row>
    <row r="59" spans="1:25" ht="18.75" customHeight="1" x14ac:dyDescent="0.25">
      <c r="A59" s="848" t="s">
        <v>73</v>
      </c>
      <c r="B59" s="848"/>
      <c r="C59" s="237"/>
      <c r="D59" s="237"/>
      <c r="E59" s="48">
        <f>E28</f>
        <v>49</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2.63E-4</v>
      </c>
      <c r="Y59" s="885"/>
    </row>
    <row r="60" spans="1:25" ht="18" customHeight="1" x14ac:dyDescent="0.25">
      <c r="A60" s="237"/>
      <c r="H60" s="53" t="s">
        <v>68</v>
      </c>
      <c r="I60" s="849">
        <f>IFERROR(ROUND(E59/I59,6),0)</f>
        <v>2.63E-4</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49</v>
      </c>
      <c r="U61" s="184" t="s">
        <v>66</v>
      </c>
      <c r="V61" s="883" t="s">
        <v>76</v>
      </c>
      <c r="W61" s="883"/>
      <c r="X61" s="884">
        <f>I62</f>
        <v>215016.58000000002</v>
      </c>
      <c r="Y61" s="884"/>
    </row>
    <row r="62" spans="1:25" ht="30.75" customHeight="1" x14ac:dyDescent="0.25">
      <c r="A62" s="848" t="s">
        <v>73</v>
      </c>
      <c r="B62" s="848"/>
      <c r="C62" s="237"/>
      <c r="D62" s="237"/>
      <c r="E62" s="48">
        <f>E28</f>
        <v>49</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2.2800000000000001E-4</v>
      </c>
      <c r="Y62" s="885"/>
    </row>
    <row r="63" spans="1:25" ht="19.5" customHeight="1" x14ac:dyDescent="0.25">
      <c r="A63" s="237"/>
      <c r="H63" s="53" t="s">
        <v>68</v>
      </c>
      <c r="I63" s="849">
        <f>IFERROR(ROUND(E62/I62,6),0)</f>
        <v>2.2800000000000001E-4</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49</v>
      </c>
      <c r="U64" s="184" t="s">
        <v>66</v>
      </c>
      <c r="V64" s="883" t="s">
        <v>165</v>
      </c>
      <c r="W64" s="883"/>
      <c r="X64" s="884">
        <f>I65</f>
        <v>185851.83000000002</v>
      </c>
      <c r="Y64" s="884"/>
    </row>
    <row r="65" spans="1:26" ht="49.5" customHeight="1" x14ac:dyDescent="0.25">
      <c r="A65" s="848" t="s">
        <v>73</v>
      </c>
      <c r="B65" s="848"/>
      <c r="C65" s="237"/>
      <c r="D65" s="237"/>
      <c r="E65" s="48">
        <f>E28</f>
        <v>49</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2.6400000000000002E-4</v>
      </c>
      <c r="Y65" s="885"/>
    </row>
    <row r="66" spans="1:26" ht="19.5" customHeight="1" x14ac:dyDescent="0.25">
      <c r="A66" s="237"/>
      <c r="H66" s="53" t="s">
        <v>68</v>
      </c>
      <c r="I66" s="849">
        <f>IFERROR(ROUND(E65/I65,6),0)</f>
        <v>2.6400000000000002E-4</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2.2800000000000001E-4</v>
      </c>
      <c r="Y67" s="271">
        <f>ROUND(V67*X67,2)</f>
        <v>10782.29</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2.2800000000000001E-4</v>
      </c>
      <c r="J68" s="138">
        <f>ROUND(G68*I68,2)</f>
        <v>10782.29</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2.2800000000000001E-4</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2.2800000000000001E-4</v>
      </c>
      <c r="J70" s="138">
        <f>ROUND(G70*I70,2)</f>
        <v>0</v>
      </c>
      <c r="M70" s="2"/>
      <c r="R70" s="758" t="s">
        <v>167</v>
      </c>
      <c r="S70" s="758"/>
      <c r="T70" s="758"/>
      <c r="U70" s="253"/>
      <c r="V70" s="193">
        <f>G71</f>
        <v>19167881</v>
      </c>
      <c r="W70" s="239" t="s">
        <v>81</v>
      </c>
      <c r="X70" s="176">
        <f>X65</f>
        <v>2.6400000000000002E-4</v>
      </c>
      <c r="Y70" s="266">
        <f t="shared" si="11"/>
        <v>5060.32</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2.6400000000000002E-4</v>
      </c>
      <c r="J71" s="138">
        <f>ROUND(G71*I71,2)</f>
        <v>5060.32</v>
      </c>
      <c r="M71" s="2"/>
      <c r="R71" s="240" t="s">
        <v>168</v>
      </c>
      <c r="S71" s="240"/>
      <c r="T71" s="240"/>
      <c r="U71" s="253"/>
      <c r="V71" s="171">
        <f>G72</f>
        <v>11546889</v>
      </c>
      <c r="W71" s="239" t="s">
        <v>81</v>
      </c>
      <c r="X71" s="176">
        <f>X59</f>
        <v>2.63E-4</v>
      </c>
      <c r="Y71" s="266">
        <f t="shared" si="11"/>
        <v>3036.83</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2.63E-4</v>
      </c>
      <c r="J72" s="138">
        <f>ROUND(G72*I72,2)</f>
        <v>3036.83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8.2100000000000001E-4</v>
      </c>
      <c r="J85" s="138">
        <f>ROUND(G85*I85,2)</f>
        <v>220698.16</v>
      </c>
      <c r="K85" s="70"/>
      <c r="L85" s="70"/>
      <c r="M85" s="71"/>
      <c r="N85" s="70"/>
      <c r="O85" s="70"/>
      <c r="P85" s="70"/>
      <c r="Q85" s="70"/>
      <c r="R85" s="758" t="s">
        <v>172</v>
      </c>
      <c r="S85" s="758"/>
      <c r="T85" s="758"/>
      <c r="U85" s="253"/>
      <c r="V85" s="171">
        <f>G85</f>
        <v>268816278</v>
      </c>
      <c r="W85" s="239" t="s">
        <v>81</v>
      </c>
      <c r="X85" s="176">
        <f>X56</f>
        <v>2.14E-4</v>
      </c>
      <c r="Y85" s="266">
        <f t="shared" ref="Y85:Y87" si="12">ROUND(V85*X85,2)</f>
        <v>57526.68</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8.2100000000000001E-4</v>
      </c>
      <c r="J86" s="138">
        <f>ROUND(G86*I86,2)</f>
        <v>0</v>
      </c>
      <c r="K86" s="70"/>
      <c r="L86" s="71"/>
      <c r="M86" s="76"/>
      <c r="N86" s="76"/>
      <c r="O86" s="76"/>
      <c r="P86" s="76"/>
      <c r="Q86" s="70"/>
      <c r="R86" s="758" t="s">
        <v>173</v>
      </c>
      <c r="S86" s="758"/>
      <c r="T86" s="758"/>
      <c r="U86" s="253"/>
      <c r="V86" s="203">
        <f>G86</f>
        <v>0</v>
      </c>
      <c r="W86" s="239" t="s">
        <v>81</v>
      </c>
      <c r="X86" s="176">
        <f>X56</f>
        <v>2.14E-4</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2.2800000000000001E-4</v>
      </c>
      <c r="J87" s="62">
        <f>ROUND(G87*I87,2)</f>
        <v>0</v>
      </c>
      <c r="K87" s="77"/>
      <c r="L87" s="70"/>
      <c r="M87" s="71"/>
      <c r="N87" s="70"/>
      <c r="O87" s="70"/>
      <c r="P87" s="70"/>
      <c r="Q87" s="70"/>
      <c r="R87" s="240" t="s">
        <v>174</v>
      </c>
      <c r="S87" s="240"/>
      <c r="T87" s="240"/>
      <c r="U87" s="253"/>
      <c r="V87" s="203">
        <f>G87</f>
        <v>0</v>
      </c>
      <c r="W87" s="239" t="s">
        <v>81</v>
      </c>
      <c r="X87" s="176">
        <f>X53</f>
        <v>2.2800000000000001E-4</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52.121000000000002</v>
      </c>
      <c r="C90" s="245"/>
      <c r="D90" s="915">
        <f>I6</f>
        <v>1.0355000000000001</v>
      </c>
      <c r="E90" s="915"/>
      <c r="F90" s="915"/>
      <c r="G90" s="122">
        <f>'[1]Detail 2025-26 FEFP Second'!AB3</f>
        <v>958.42</v>
      </c>
      <c r="H90" s="47" t="s">
        <v>68</v>
      </c>
      <c r="I90" s="141">
        <f>ROUND(B90*D90*G90,2)</f>
        <v>51727.17</v>
      </c>
      <c r="J90" s="81"/>
      <c r="K90" s="70"/>
      <c r="L90" s="70"/>
      <c r="M90" s="71"/>
      <c r="N90" s="70"/>
      <c r="O90" s="70"/>
      <c r="P90" s="70"/>
      <c r="Q90" s="70"/>
      <c r="R90" s="238" t="s">
        <v>110</v>
      </c>
      <c r="S90" s="251">
        <f>X12+X13+X18+X21+X24</f>
        <v>9</v>
      </c>
      <c r="T90" s="870">
        <f>X6</f>
        <v>1.0355000000000001</v>
      </c>
      <c r="U90" s="870"/>
      <c r="V90" s="122">
        <f>G90</f>
        <v>958.42</v>
      </c>
      <c r="W90" s="182" t="s">
        <v>68</v>
      </c>
      <c r="X90" s="272">
        <f>ROUND(S90*T90*V90,2)</f>
        <v>8932</v>
      </c>
      <c r="Y90" s="205"/>
    </row>
    <row r="91" spans="1:26" ht="21" customHeight="1" x14ac:dyDescent="0.25">
      <c r="A91" s="82" t="s">
        <v>60</v>
      </c>
      <c r="B91" s="245">
        <f>I14+I15+I19+I22+I25</f>
        <v>49.665999999999997</v>
      </c>
      <c r="C91" s="245"/>
      <c r="D91" s="915">
        <f>I6</f>
        <v>1.0355000000000001</v>
      </c>
      <c r="E91" s="915"/>
      <c r="F91" s="915"/>
      <c r="G91" s="122">
        <f>'[1]Detail 2025-26 FEFP Second'!AC3</f>
        <v>915.09</v>
      </c>
      <c r="H91" s="47" t="s">
        <v>68</v>
      </c>
      <c r="I91" s="140">
        <f>ROUND(B91*D91*G91,2)</f>
        <v>47062.29</v>
      </c>
      <c r="K91" s="70"/>
      <c r="L91" s="70"/>
      <c r="M91" s="71"/>
      <c r="N91" s="70"/>
      <c r="O91" s="70"/>
      <c r="P91" s="70"/>
      <c r="Q91" s="70"/>
      <c r="R91" s="206" t="s">
        <v>60</v>
      </c>
      <c r="S91" s="251">
        <f>X14+X15+X19+X22+X25</f>
        <v>9</v>
      </c>
      <c r="T91" s="870">
        <f>X6</f>
        <v>1.0355000000000001</v>
      </c>
      <c r="U91" s="870"/>
      <c r="V91" s="122">
        <f>G91</f>
        <v>915.09</v>
      </c>
      <c r="W91" s="182" t="s">
        <v>68</v>
      </c>
      <c r="X91" s="272">
        <f>ROUND(S91*T91*V91,2)</f>
        <v>8528.18</v>
      </c>
      <c r="Y91" s="170"/>
    </row>
    <row r="92" spans="1:26" ht="19.5" customHeight="1" thickBot="1" x14ac:dyDescent="0.3">
      <c r="A92" s="83" t="s">
        <v>61</v>
      </c>
      <c r="B92" s="109">
        <f>I16+I17+I20+I23+I26+I27</f>
        <v>86.325999999999993</v>
      </c>
      <c r="C92" s="109"/>
      <c r="D92" s="915">
        <f>I6</f>
        <v>1.0355000000000001</v>
      </c>
      <c r="E92" s="915"/>
      <c r="F92" s="915"/>
      <c r="G92" s="122">
        <f>'[1]Detail 2025-26 FEFP Second'!AD3</f>
        <v>917.3</v>
      </c>
      <c r="H92" s="47" t="s">
        <v>68</v>
      </c>
      <c r="I92" s="574">
        <f>ROUND(B92*D92*G92,2)</f>
        <v>81997.97</v>
      </c>
      <c r="K92" s="70"/>
      <c r="L92" s="70"/>
      <c r="M92" s="71"/>
      <c r="N92" s="70"/>
      <c r="O92" s="70"/>
      <c r="P92" s="70"/>
      <c r="Q92" s="70"/>
      <c r="R92" s="207" t="s">
        <v>61</v>
      </c>
      <c r="S92" s="208">
        <f>X16+X17+X20+X23+X26+X27</f>
        <v>31</v>
      </c>
      <c r="T92" s="870">
        <f>X6</f>
        <v>1.0355000000000001</v>
      </c>
      <c r="U92" s="870"/>
      <c r="V92" s="122">
        <f>G92</f>
        <v>917.3</v>
      </c>
      <c r="W92" s="182" t="s">
        <v>68</v>
      </c>
      <c r="X92" s="272">
        <f>ROUND(S92*T92*V92,2)</f>
        <v>29445.79</v>
      </c>
      <c r="Y92" s="170"/>
    </row>
    <row r="93" spans="1:26" ht="18.75" customHeight="1" thickBot="1" x14ac:dyDescent="0.3">
      <c r="A93" s="247" t="s">
        <v>111</v>
      </c>
      <c r="B93" s="109">
        <f>SUM(B90:B92)</f>
        <v>188.113</v>
      </c>
      <c r="C93" s="109"/>
      <c r="D93" s="109"/>
      <c r="E93" s="867" t="s">
        <v>112</v>
      </c>
      <c r="F93" s="867"/>
      <c r="G93" s="867"/>
      <c r="H93" s="867"/>
      <c r="I93" s="867"/>
      <c r="J93" s="127">
        <f>IF(A1=75,0,I92+I91+I90)</f>
        <v>180787.43</v>
      </c>
      <c r="K93" s="70"/>
      <c r="L93" s="70"/>
      <c r="M93" s="71"/>
      <c r="N93" s="70"/>
      <c r="O93" s="70"/>
      <c r="P93" s="70"/>
      <c r="Q93" s="70"/>
      <c r="R93" s="252" t="s">
        <v>111</v>
      </c>
      <c r="S93" s="210">
        <f>SUM(S90:S92)</f>
        <v>49</v>
      </c>
      <c r="T93" s="874" t="s">
        <v>112</v>
      </c>
      <c r="U93" s="875"/>
      <c r="V93" s="875"/>
      <c r="W93" s="875"/>
      <c r="X93" s="875"/>
      <c r="Y93" s="266">
        <f>IF(R1=75,0,X92+X91+X90)</f>
        <v>46905.97</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23.5</v>
      </c>
      <c r="U96" s="872"/>
      <c r="V96" s="872"/>
      <c r="W96" s="261" t="s">
        <v>117</v>
      </c>
      <c r="X96" s="212">
        <f>I97</f>
        <v>617</v>
      </c>
      <c r="Y96" s="266">
        <f>ROUND(X96*T96,2)</f>
        <v>14499.5</v>
      </c>
    </row>
    <row r="97" spans="1:25" ht="17.25" customHeight="1" x14ac:dyDescent="0.25">
      <c r="A97" s="839" t="s">
        <v>116</v>
      </c>
      <c r="B97" s="839"/>
      <c r="C97" s="279">
        <v>24</v>
      </c>
      <c r="D97" s="279">
        <v>23</v>
      </c>
      <c r="E97" s="939">
        <f>(C97+D97)/2</f>
        <v>23.5</v>
      </c>
      <c r="F97" s="939"/>
      <c r="G97" s="939"/>
      <c r="H97" s="224" t="s">
        <v>117</v>
      </c>
      <c r="I97" s="130">
        <f>IF(A1&gt;67,0,INDEX('[1]Transportation Per Student'!F$1:F$65536,MATCH(A1,'[1]Transportation Per Student'!B$1:B$65536)))</f>
        <v>617</v>
      </c>
      <c r="J97" s="138">
        <f>ROUND(I97*E97,2)</f>
        <v>14499.5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1</v>
      </c>
      <c r="D98" s="279">
        <v>1</v>
      </c>
      <c r="E98" s="938">
        <f>(C98+D98)/2</f>
        <v>1</v>
      </c>
      <c r="F98" s="938"/>
      <c r="G98" s="938"/>
      <c r="H98" s="224" t="s">
        <v>117</v>
      </c>
      <c r="I98" s="130">
        <f>IF(A1&gt;67,0,INDEX('[1]Transportation Per Student'!J$1:J$65536,MATCH(A1,'[1]Transportation Per Student'!B$1:B$65536)))</f>
        <v>1870</v>
      </c>
      <c r="J98" s="138">
        <f>ROUND(I98*E98,2)</f>
        <v>1870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839" t="s">
        <v>125</v>
      </c>
      <c r="B107" s="839"/>
      <c r="C107" s="839"/>
      <c r="D107" s="839"/>
      <c r="E107" s="839"/>
      <c r="F107" s="839"/>
      <c r="G107" s="839"/>
      <c r="H107" s="839"/>
      <c r="I107" s="839"/>
      <c r="J107" s="95">
        <f>SUM(J106,J105,J98,J97,J93,J86,J85,J71,J70,J68,J33,J72,J50,J87,J84)</f>
        <v>1603249.73</v>
      </c>
      <c r="L107" s="575"/>
      <c r="R107" s="758" t="s">
        <v>125</v>
      </c>
      <c r="S107" s="758"/>
      <c r="T107" s="758"/>
      <c r="U107" s="758"/>
      <c r="V107" s="758"/>
      <c r="W107" s="758"/>
      <c r="X107" s="758"/>
      <c r="Y107" s="219">
        <f>SUM(Y106,Y105,Y97,Y96,Y93,Y86,Y85,Y84,Y70,Y69,Y67,Y33,Y71,Y50,Y87,Y83)</f>
        <v>410414.62000000005</v>
      </c>
    </row>
    <row r="108" spans="1:25" ht="15.75" customHeight="1" thickTop="1" x14ac:dyDescent="0.25">
      <c r="A108" s="817"/>
      <c r="B108" s="817"/>
      <c r="C108" s="817"/>
      <c r="D108" s="817"/>
      <c r="E108" s="817"/>
      <c r="F108" s="817"/>
      <c r="G108" s="817"/>
      <c r="H108" s="817"/>
      <c r="I108" s="817"/>
      <c r="J108" s="817"/>
      <c r="R108" s="855"/>
      <c r="S108" s="855"/>
      <c r="T108" s="855"/>
      <c r="U108" s="855"/>
      <c r="V108" s="855"/>
      <c r="W108" s="855"/>
      <c r="X108" s="855"/>
      <c r="Y108" s="855"/>
    </row>
    <row r="109" spans="1:25" ht="17.25" customHeight="1" thickBot="1" x14ac:dyDescent="0.3">
      <c r="A109" s="841" t="s">
        <v>131</v>
      </c>
      <c r="B109" s="841"/>
      <c r="C109" s="841"/>
      <c r="D109" s="841"/>
      <c r="E109" s="841"/>
      <c r="F109" s="817"/>
      <c r="G109" s="817"/>
      <c r="H109" s="817"/>
      <c r="I109" s="2" t="s">
        <v>132</v>
      </c>
      <c r="J109" s="96">
        <f>J107-J38</f>
        <v>1527794.6199999999</v>
      </c>
      <c r="R109" s="170" t="s">
        <v>180</v>
      </c>
      <c r="S109" s="170"/>
      <c r="T109" s="170"/>
      <c r="U109" s="170"/>
      <c r="V109" s="170"/>
      <c r="W109" s="170"/>
      <c r="X109" s="170"/>
      <c r="Y109" s="220">
        <f>Y107-Y38</f>
        <v>390759.94000000006</v>
      </c>
    </row>
    <row r="110" spans="1:25" ht="18.75" customHeight="1" thickTop="1" x14ac:dyDescent="0.25">
      <c r="A110" s="841" t="s">
        <v>133</v>
      </c>
      <c r="B110" s="841"/>
      <c r="C110" s="841"/>
      <c r="D110" s="841"/>
      <c r="E110" s="841"/>
      <c r="F110" s="841"/>
      <c r="G110" s="841"/>
      <c r="H110" s="841"/>
      <c r="I110" s="235" t="s">
        <v>134</v>
      </c>
      <c r="J110" s="72"/>
      <c r="R110" s="851" t="s">
        <v>136</v>
      </c>
      <c r="S110" s="851"/>
      <c r="T110" s="851"/>
      <c r="U110" s="851"/>
      <c r="V110" s="851"/>
      <c r="W110" s="851"/>
      <c r="X110" s="851"/>
      <c r="Y110" s="851"/>
    </row>
    <row r="111" spans="1:25" ht="15.75" customHeight="1" x14ac:dyDescent="0.25">
      <c r="A111" s="848" t="s">
        <v>135</v>
      </c>
      <c r="B111" s="848"/>
      <c r="C111" s="848"/>
      <c r="D111" s="848"/>
      <c r="E111" s="848"/>
      <c r="F111" s="848"/>
      <c r="G111" s="848"/>
      <c r="H111" s="848"/>
      <c r="I111" s="280">
        <v>1</v>
      </c>
      <c r="J111" s="46">
        <f>Y109</f>
        <v>390759.94000000006</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601"/>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716"/>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7">
        <f>IF(I111=1,J111,J109)</f>
        <v>390759.94000000006</v>
      </c>
      <c r="J114" s="718">
        <f>ROUND(IF(E28=0,0,IF(E28&gt;250,-(((250/E28)*I114)*IF(H113="H",0.02,0.05)),IF(H113="H",-0.02*I114,-0.05*I114))),2)</f>
        <v>-19538</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1583711.73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Payments'!R75</f>
        <v>-260760.5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1322951.23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132295.12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D6ED-DD5B-4F78-875E-84523061658F}">
  <dimension ref="A1:Z207"/>
  <sheetViews>
    <sheetView topLeftCell="A100" workbookViewId="0">
      <selection activeCell="L122" sqref="L122"/>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442</v>
      </c>
      <c r="B2" s="102"/>
      <c r="C2" s="102"/>
      <c r="D2" s="102"/>
      <c r="E2" s="100"/>
      <c r="F2" s="100"/>
      <c r="G2" s="100"/>
      <c r="H2" s="100"/>
      <c r="I2" s="100"/>
      <c r="J2" s="100"/>
      <c r="K2" s="6"/>
      <c r="L2" s="6"/>
      <c r="M2" s="6"/>
      <c r="N2" s="6"/>
      <c r="O2" s="6"/>
      <c r="P2" s="6"/>
      <c r="Q2" s="6"/>
      <c r="R2" s="920" t="str">
        <f>Revenue_Estimate_Worksheet_for___________Charter_School</f>
        <v>Revenue Estimate Worksheet: The Learning Center at The Els Center of Excellence - 2791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Second'!$C$1:$C$65536,MATCH('2791'!$A$1,'[1]Detail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Second'!$D$1:$D$65536,MATCH('2791'!$A$1,'[1]Detail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0.5</v>
      </c>
      <c r="D13" s="414">
        <v>0</v>
      </c>
      <c r="E13" s="832">
        <f t="shared" si="0"/>
        <v>1</v>
      </c>
      <c r="F13" s="832"/>
      <c r="G13" s="833">
        <v>1.1080000000000001</v>
      </c>
      <c r="H13" s="833"/>
      <c r="I13" s="577">
        <f t="shared" ref="I13:I27" si="2">ROUND(E13*G13,4)</f>
        <v>1.1080000000000001</v>
      </c>
      <c r="J13" s="578">
        <f t="shared" si="1"/>
        <v>6164.17</v>
      </c>
      <c r="L13" s="21"/>
      <c r="M13" s="2"/>
      <c r="R13" s="756" t="s">
        <v>21</v>
      </c>
      <c r="S13" s="756"/>
      <c r="T13" s="897">
        <f t="shared" ref="T13:T27" si="3">IF($I$111=1,E13,0)</f>
        <v>1</v>
      </c>
      <c r="U13" s="897"/>
      <c r="V13" s="896">
        <v>1</v>
      </c>
      <c r="W13" s="896"/>
      <c r="X13" s="156">
        <f t="shared" ref="X13:X27" si="4">ROUND(T13*V13,4)</f>
        <v>1</v>
      </c>
      <c r="Y13" s="266">
        <f t="shared" ref="Y13" si="5">ROUND(ROUND(ROUND(X13*$E$6,4)*($I$6),2)*(MAX($I$7,1)),2)</f>
        <v>5563.33</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0.5</v>
      </c>
      <c r="D15" s="414">
        <v>0</v>
      </c>
      <c r="E15" s="832">
        <f t="shared" si="0"/>
        <v>1</v>
      </c>
      <c r="F15" s="832"/>
      <c r="G15" s="833">
        <v>1</v>
      </c>
      <c r="H15" s="833"/>
      <c r="I15" s="577">
        <f t="shared" si="2"/>
        <v>1</v>
      </c>
      <c r="J15" s="578">
        <f t="shared" si="1"/>
        <v>5563.33</v>
      </c>
      <c r="M15" s="2"/>
      <c r="R15" s="756" t="s">
        <v>23</v>
      </c>
      <c r="S15" s="756"/>
      <c r="T15" s="897">
        <f t="shared" si="3"/>
        <v>1</v>
      </c>
      <c r="U15" s="897"/>
      <c r="V15" s="896">
        <v>1</v>
      </c>
      <c r="W15" s="896"/>
      <c r="X15" s="156">
        <f t="shared" si="4"/>
        <v>1</v>
      </c>
      <c r="Y15" s="266">
        <f t="shared" ref="Y15:Y27" si="6">ROUND(ROUND(ROUND(X15*$E$6,4)*($I$6),2)*(MAX($I$7,1)),2)</f>
        <v>5563.33</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30.5</v>
      </c>
      <c r="D18" s="414">
        <v>0</v>
      </c>
      <c r="E18" s="832">
        <f t="shared" si="0"/>
        <v>61</v>
      </c>
      <c r="F18" s="832"/>
      <c r="G18" s="833">
        <v>3.609</v>
      </c>
      <c r="H18" s="833"/>
      <c r="I18" s="577">
        <f t="shared" si="2"/>
        <v>220.149</v>
      </c>
      <c r="J18" s="578">
        <f t="shared" si="1"/>
        <v>1224760.94</v>
      </c>
      <c r="M18" s="2"/>
      <c r="R18" s="756" t="s">
        <v>26</v>
      </c>
      <c r="S18" s="756"/>
      <c r="T18" s="897">
        <f t="shared" si="3"/>
        <v>61</v>
      </c>
      <c r="U18" s="897"/>
      <c r="V18" s="896">
        <v>1</v>
      </c>
      <c r="W18" s="896"/>
      <c r="X18" s="156">
        <f t="shared" si="4"/>
        <v>61</v>
      </c>
      <c r="Y18" s="266">
        <f t="shared" si="6"/>
        <v>339362.97</v>
      </c>
    </row>
    <row r="19" spans="1:25" x14ac:dyDescent="0.25">
      <c r="A19" s="757" t="s">
        <v>27</v>
      </c>
      <c r="B19" s="757"/>
      <c r="C19" s="414">
        <v>29</v>
      </c>
      <c r="D19" s="414">
        <v>0</v>
      </c>
      <c r="E19" s="832">
        <f t="shared" si="0"/>
        <v>58</v>
      </c>
      <c r="F19" s="832"/>
      <c r="G19" s="833">
        <v>3.609</v>
      </c>
      <c r="H19" s="833"/>
      <c r="I19" s="577">
        <f t="shared" si="2"/>
        <v>209.322</v>
      </c>
      <c r="J19" s="578">
        <f t="shared" si="1"/>
        <v>1164526.8</v>
      </c>
      <c r="M19" s="2"/>
      <c r="R19" s="756" t="s">
        <v>27</v>
      </c>
      <c r="S19" s="756"/>
      <c r="T19" s="897">
        <f t="shared" si="3"/>
        <v>58</v>
      </c>
      <c r="U19" s="897"/>
      <c r="V19" s="896">
        <v>1</v>
      </c>
      <c r="W19" s="896"/>
      <c r="X19" s="156">
        <f t="shared" si="4"/>
        <v>58</v>
      </c>
      <c r="Y19" s="266">
        <f t="shared" si="6"/>
        <v>322672.98</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10.5</v>
      </c>
      <c r="D21" s="414">
        <v>0</v>
      </c>
      <c r="E21" s="832">
        <f t="shared" si="0"/>
        <v>21</v>
      </c>
      <c r="F21" s="832"/>
      <c r="G21" s="833">
        <v>6.0640000000000001</v>
      </c>
      <c r="H21" s="833"/>
      <c r="I21" s="577">
        <f t="shared" si="2"/>
        <v>127.34399999999999</v>
      </c>
      <c r="J21" s="578">
        <f t="shared" si="1"/>
        <v>708456.35</v>
      </c>
      <c r="M21" s="2"/>
      <c r="R21" s="756" t="s">
        <v>29</v>
      </c>
      <c r="S21" s="756"/>
      <c r="T21" s="897">
        <f t="shared" si="3"/>
        <v>21</v>
      </c>
      <c r="U21" s="897"/>
      <c r="V21" s="896">
        <v>1</v>
      </c>
      <c r="W21" s="896"/>
      <c r="X21" s="156">
        <f t="shared" si="4"/>
        <v>21</v>
      </c>
      <c r="Y21" s="266">
        <f t="shared" si="6"/>
        <v>116829.87</v>
      </c>
    </row>
    <row r="22" spans="1:25" ht="15" customHeight="1" x14ac:dyDescent="0.25">
      <c r="A22" s="757" t="s">
        <v>30</v>
      </c>
      <c r="B22" s="757"/>
      <c r="C22" s="414">
        <v>11</v>
      </c>
      <c r="D22" s="414">
        <v>0</v>
      </c>
      <c r="E22" s="832">
        <f t="shared" si="0"/>
        <v>22</v>
      </c>
      <c r="F22" s="832"/>
      <c r="G22" s="833">
        <v>6.0640000000000001</v>
      </c>
      <c r="H22" s="833"/>
      <c r="I22" s="577">
        <f t="shared" si="2"/>
        <v>133.40799999999999</v>
      </c>
      <c r="J22" s="578">
        <f t="shared" si="1"/>
        <v>742192.37</v>
      </c>
      <c r="M22" s="2"/>
      <c r="R22" s="756" t="s">
        <v>30</v>
      </c>
      <c r="S22" s="756"/>
      <c r="T22" s="897">
        <f t="shared" si="3"/>
        <v>22</v>
      </c>
      <c r="U22" s="897"/>
      <c r="V22" s="896">
        <v>1</v>
      </c>
      <c r="W22" s="896"/>
      <c r="X22" s="156">
        <f t="shared" si="4"/>
        <v>22</v>
      </c>
      <c r="Y22" s="266">
        <f t="shared" si="6"/>
        <v>122393.2</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712">
        <f>SUM(C12:C27)</f>
        <v>82</v>
      </c>
      <c r="D28" s="126">
        <f>SUM(D12:D27)</f>
        <v>0</v>
      </c>
      <c r="E28" s="837">
        <f>SUM(E12:E27)</f>
        <v>164</v>
      </c>
      <c r="F28" s="837"/>
      <c r="G28" s="838"/>
      <c r="H28" s="838"/>
      <c r="I28" s="23">
        <f>SUM(I12:I27)</f>
        <v>692.33100000000002</v>
      </c>
      <c r="J28" s="127">
        <f>SUM(J12:J27)</f>
        <v>3851663.9600000004</v>
      </c>
      <c r="M28" s="2"/>
      <c r="R28" s="899" t="s">
        <v>36</v>
      </c>
      <c r="S28" s="899"/>
      <c r="T28" s="900">
        <f>SUM(T12:T27)</f>
        <v>164</v>
      </c>
      <c r="U28" s="900"/>
      <c r="V28" s="901"/>
      <c r="W28" s="901"/>
      <c r="X28" s="158">
        <f>SUM(X12:X27)</f>
        <v>164</v>
      </c>
      <c r="Y28" s="266">
        <f>SUM(Y12:Y27)</f>
        <v>912385.67999999982</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692.33100000000002</v>
      </c>
      <c r="H33" s="838" t="s">
        <v>45</v>
      </c>
      <c r="I33" s="838"/>
      <c r="J33" s="32">
        <f>SUM(J32,J28)</f>
        <v>3851663.9600000004</v>
      </c>
      <c r="M33" s="2"/>
      <c r="R33" s="854" t="s">
        <v>44</v>
      </c>
      <c r="S33" s="854"/>
      <c r="T33" s="854"/>
      <c r="U33" s="854"/>
      <c r="V33" s="164">
        <f>V32+X28</f>
        <v>164</v>
      </c>
      <c r="W33" s="901" t="s">
        <v>45</v>
      </c>
      <c r="X33" s="901"/>
      <c r="Y33" s="165">
        <f>SUM(Y32,Y28)</f>
        <v>912385.67999999982</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3851663.96</v>
      </c>
      <c r="H36" s="223" t="s">
        <v>49</v>
      </c>
      <c r="I36" s="38">
        <v>6.6699999999999995E-2</v>
      </c>
      <c r="J36" s="131">
        <f>ROUND(G36*I36,2)</f>
        <v>256905.99</v>
      </c>
      <c r="K36" s="39"/>
      <c r="L36" s="233"/>
      <c r="M36" s="233"/>
      <c r="N36" s="233"/>
      <c r="O36" s="31"/>
      <c r="P36" s="232"/>
      <c r="Q36" s="232"/>
      <c r="R36" s="756" t="s">
        <v>47</v>
      </c>
      <c r="S36" s="756"/>
      <c r="T36" s="756"/>
      <c r="U36" s="253"/>
      <c r="V36" s="172">
        <v>912385.68</v>
      </c>
      <c r="W36" s="239" t="s">
        <v>49</v>
      </c>
      <c r="X36" s="174">
        <v>6.6699999999999995E-2</v>
      </c>
      <c r="Y36" s="266">
        <f>ROUND(V36*X36,2)</f>
        <v>60856.12</v>
      </c>
    </row>
    <row r="37" spans="1:25" ht="20.25" customHeight="1" x14ac:dyDescent="0.25">
      <c r="A37" s="757" t="s">
        <v>50</v>
      </c>
      <c r="B37" s="757"/>
      <c r="C37" s="757"/>
      <c r="D37" s="757"/>
      <c r="E37" s="757"/>
      <c r="F37" s="248" t="s">
        <v>48</v>
      </c>
      <c r="G37" s="132">
        <v>3851663.96</v>
      </c>
      <c r="H37" s="223" t="s">
        <v>49</v>
      </c>
      <c r="I37" s="38">
        <v>5.4000000000000003E-3</v>
      </c>
      <c r="J37" s="131">
        <f>ROUND(G37*I37,2)</f>
        <v>20798.990000000002</v>
      </c>
      <c r="K37" s="39"/>
      <c r="L37" s="233"/>
      <c r="M37" s="233"/>
      <c r="N37" s="233"/>
      <c r="O37" s="31"/>
      <c r="P37" s="232"/>
      <c r="Q37" s="232"/>
      <c r="R37" s="756" t="s">
        <v>50</v>
      </c>
      <c r="S37" s="756"/>
      <c r="T37" s="756"/>
      <c r="U37" s="253"/>
      <c r="V37" s="172">
        <v>912385.68</v>
      </c>
      <c r="W37" s="239" t="s">
        <v>49</v>
      </c>
      <c r="X37" s="174">
        <v>5.4000000000000003E-3</v>
      </c>
      <c r="Y37" s="266">
        <f>ROUND(V37*X37,2)</f>
        <v>4926.88</v>
      </c>
    </row>
    <row r="38" spans="1:25" ht="20.25" customHeight="1" x14ac:dyDescent="0.25">
      <c r="A38" s="841" t="s">
        <v>51</v>
      </c>
      <c r="B38" s="841"/>
      <c r="C38" s="841"/>
      <c r="D38" s="841"/>
      <c r="E38" s="841"/>
      <c r="F38" s="248" t="s">
        <v>52</v>
      </c>
      <c r="G38" s="40"/>
      <c r="H38" s="223"/>
      <c r="I38" s="41"/>
      <c r="J38" s="131">
        <f>SUM(J36:J37)</f>
        <v>277704.98</v>
      </c>
      <c r="K38" s="39"/>
      <c r="L38" s="233"/>
      <c r="M38" s="233"/>
      <c r="N38" s="233"/>
      <c r="O38" s="31"/>
      <c r="P38" s="232"/>
      <c r="Q38" s="232"/>
      <c r="R38" s="758" t="s">
        <v>51</v>
      </c>
      <c r="S38" s="758"/>
      <c r="T38" s="758"/>
      <c r="U38" s="253" t="s">
        <v>52</v>
      </c>
      <c r="V38" s="175"/>
      <c r="W38" s="239"/>
      <c r="X38" s="176"/>
      <c r="Y38" s="157">
        <f>Y36+Y37</f>
        <v>65783</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0.5</v>
      </c>
      <c r="D43" s="414">
        <v>0</v>
      </c>
      <c r="E43" s="847">
        <f t="shared" si="7"/>
        <v>1</v>
      </c>
      <c r="F43" s="847"/>
      <c r="G43" s="223" t="s">
        <v>59</v>
      </c>
      <c r="H43" s="223">
        <v>253</v>
      </c>
      <c r="I43" s="136">
        <f>INDEX('[1]111-112-113 ADDITIONAL FUND'!F$1:F$65536,MATCH($A$1,'[1]111-112-113 ADDITIONAL FUND'!A$1:A$65536))</f>
        <v>6896</v>
      </c>
      <c r="J43" s="137">
        <f t="shared" si="8"/>
        <v>6896</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0.5</v>
      </c>
      <c r="D45" s="414">
        <v>0</v>
      </c>
      <c r="E45" s="847">
        <f t="shared" si="7"/>
        <v>1</v>
      </c>
      <c r="F45" s="847"/>
      <c r="G45" s="47" t="s">
        <v>60</v>
      </c>
      <c r="H45" s="223">
        <v>252</v>
      </c>
      <c r="I45" s="136">
        <f>INDEX('[1]111-112-113 ADDITIONAL FUND'!H$1:H$65536,MATCH($A$1,'[1]111-112-113 ADDITIONAL FUND'!A$1:A$65536))</f>
        <v>3506</v>
      </c>
      <c r="J45" s="137">
        <f t="shared" si="8"/>
        <v>3506</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732">
        <v>0</v>
      </c>
      <c r="D49" s="732">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733">
        <f>SUM(C41:C49)</f>
        <v>1</v>
      </c>
      <c r="D50" s="733">
        <f>SUM(D41:D49)</f>
        <v>0</v>
      </c>
      <c r="E50" s="853">
        <f>SUM(E41:E49)</f>
        <v>2</v>
      </c>
      <c r="F50" s="853"/>
      <c r="G50" s="839" t="s">
        <v>63</v>
      </c>
      <c r="H50" s="839"/>
      <c r="I50" s="839"/>
      <c r="J50" s="276">
        <f>SUM(J41:J49)</f>
        <v>10402</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164</v>
      </c>
      <c r="U52" s="184" t="s">
        <v>66</v>
      </c>
      <c r="V52" s="185"/>
      <c r="W52" s="186" t="s">
        <v>67</v>
      </c>
      <c r="X52" s="884">
        <f>I53</f>
        <v>215320.92</v>
      </c>
      <c r="Y52" s="884"/>
    </row>
    <row r="53" spans="1:25" ht="16.5" customHeight="1" x14ac:dyDescent="0.25">
      <c r="A53" s="848" t="s">
        <v>65</v>
      </c>
      <c r="B53" s="848"/>
      <c r="C53" s="237"/>
      <c r="D53" s="237"/>
      <c r="E53" s="48">
        <f>E28</f>
        <v>164</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7.6199999999999998E-4</v>
      </c>
      <c r="Y53" s="885"/>
    </row>
    <row r="54" spans="1:25" ht="22.5" customHeight="1" x14ac:dyDescent="0.25">
      <c r="A54" s="237"/>
      <c r="B54" s="230"/>
      <c r="C54" s="230"/>
      <c r="D54" s="230"/>
      <c r="H54" s="53" t="s">
        <v>68</v>
      </c>
      <c r="I54" s="849">
        <f>IFERROR(ROUND(E53/I53,6),0)</f>
        <v>7.6199999999999998E-4</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164</v>
      </c>
      <c r="U55" s="184" t="s">
        <v>66</v>
      </c>
      <c r="V55" s="185"/>
      <c r="W55" s="186" t="s">
        <v>71</v>
      </c>
      <c r="X55" s="884">
        <f>I56</f>
        <v>229051.25000000003</v>
      </c>
      <c r="Y55" s="884"/>
    </row>
    <row r="56" spans="1:25" ht="16.5" customHeight="1" x14ac:dyDescent="0.25">
      <c r="A56" s="848" t="s">
        <v>70</v>
      </c>
      <c r="B56" s="848"/>
      <c r="C56" s="237"/>
      <c r="D56" s="237"/>
      <c r="E56" s="48">
        <f>G33</f>
        <v>692.33100000000002</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7.1599999999999995E-4</v>
      </c>
      <c r="Y56" s="885"/>
    </row>
    <row r="57" spans="1:25" ht="18.75" customHeight="1" x14ac:dyDescent="0.25">
      <c r="A57" s="237"/>
      <c r="H57" s="53" t="s">
        <v>68</v>
      </c>
      <c r="I57" s="849">
        <f>IFERROR(ROUND(E56/I56,6),0)</f>
        <v>3.0230000000000001E-3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164</v>
      </c>
      <c r="U58" s="184" t="s">
        <v>66</v>
      </c>
      <c r="V58" s="883" t="s">
        <v>74</v>
      </c>
      <c r="W58" s="883"/>
      <c r="X58" s="884">
        <f>I59</f>
        <v>186156.17</v>
      </c>
      <c r="Y58" s="884"/>
    </row>
    <row r="59" spans="1:25" ht="18.75" customHeight="1" x14ac:dyDescent="0.25">
      <c r="A59" s="848" t="s">
        <v>73</v>
      </c>
      <c r="B59" s="848"/>
      <c r="C59" s="237"/>
      <c r="D59" s="237"/>
      <c r="E59" s="48">
        <f>E28</f>
        <v>164</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8.8099999999999995E-4</v>
      </c>
      <c r="Y59" s="885"/>
    </row>
    <row r="60" spans="1:25" ht="18" customHeight="1" x14ac:dyDescent="0.25">
      <c r="A60" s="237"/>
      <c r="H60" s="53" t="s">
        <v>68</v>
      </c>
      <c r="I60" s="849">
        <f>IFERROR(ROUND(E59/I59,6),0)</f>
        <v>8.8099999999999995E-4</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164</v>
      </c>
      <c r="U61" s="184" t="s">
        <v>66</v>
      </c>
      <c r="V61" s="883" t="s">
        <v>76</v>
      </c>
      <c r="W61" s="883"/>
      <c r="X61" s="884">
        <f>I62</f>
        <v>215016.58000000002</v>
      </c>
      <c r="Y61" s="884"/>
    </row>
    <row r="62" spans="1:25" ht="30.75" customHeight="1" x14ac:dyDescent="0.25">
      <c r="A62" s="848" t="s">
        <v>73</v>
      </c>
      <c r="B62" s="848"/>
      <c r="C62" s="237"/>
      <c r="D62" s="237"/>
      <c r="E62" s="48">
        <f>E28</f>
        <v>164</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7.6300000000000001E-4</v>
      </c>
      <c r="Y62" s="885"/>
    </row>
    <row r="63" spans="1:25" ht="19.5" customHeight="1" x14ac:dyDescent="0.25">
      <c r="A63" s="237"/>
      <c r="H63" s="53" t="s">
        <v>68</v>
      </c>
      <c r="I63" s="849">
        <f>IFERROR(ROUND(E62/I62,6),0)</f>
        <v>7.6300000000000001E-4</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164</v>
      </c>
      <c r="U64" s="184" t="s">
        <v>66</v>
      </c>
      <c r="V64" s="883" t="s">
        <v>165</v>
      </c>
      <c r="W64" s="883"/>
      <c r="X64" s="884">
        <f>I65</f>
        <v>185851.83000000002</v>
      </c>
      <c r="Y64" s="884"/>
    </row>
    <row r="65" spans="1:26" ht="49.5" customHeight="1" x14ac:dyDescent="0.25">
      <c r="A65" s="848" t="s">
        <v>73</v>
      </c>
      <c r="B65" s="848"/>
      <c r="C65" s="237"/>
      <c r="D65" s="237"/>
      <c r="E65" s="48">
        <f>E28</f>
        <v>164</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8.8199999999999997E-4</v>
      </c>
      <c r="Y65" s="885"/>
    </row>
    <row r="66" spans="1:26" ht="19.5" customHeight="1" x14ac:dyDescent="0.25">
      <c r="A66" s="237"/>
      <c r="H66" s="53" t="s">
        <v>68</v>
      </c>
      <c r="I66" s="849">
        <f>IFERROR(ROUND(E65/I65,6),0)</f>
        <v>8.8199999999999997E-4</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7.6300000000000001E-4</v>
      </c>
      <c r="Y67" s="271">
        <f>ROUND(V67*X67,2)</f>
        <v>36082.839999999997</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7.6300000000000001E-4</v>
      </c>
      <c r="J68" s="138">
        <f>ROUND(G68*I68,2)</f>
        <v>36082.839999999997</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7.6199999999999998E-4</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7.6199999999999998E-4</v>
      </c>
      <c r="J70" s="138">
        <f>ROUND(G70*I70,2)</f>
        <v>0</v>
      </c>
      <c r="M70" s="2"/>
      <c r="R70" s="758" t="s">
        <v>167</v>
      </c>
      <c r="S70" s="758"/>
      <c r="T70" s="758"/>
      <c r="U70" s="253"/>
      <c r="V70" s="193">
        <f>G71</f>
        <v>19167881</v>
      </c>
      <c r="W70" s="239" t="s">
        <v>81</v>
      </c>
      <c r="X70" s="176">
        <f>X65</f>
        <v>8.8199999999999997E-4</v>
      </c>
      <c r="Y70" s="266">
        <f t="shared" si="11"/>
        <v>16906.07</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8.8199999999999997E-4</v>
      </c>
      <c r="J71" s="138">
        <f>ROUND(G71*I71,2)</f>
        <v>16906.07</v>
      </c>
      <c r="M71" s="2"/>
      <c r="R71" s="240" t="s">
        <v>168</v>
      </c>
      <c r="S71" s="240"/>
      <c r="T71" s="240"/>
      <c r="U71" s="253"/>
      <c r="V71" s="171">
        <f>G72</f>
        <v>11546889</v>
      </c>
      <c r="W71" s="239" t="s">
        <v>81</v>
      </c>
      <c r="X71" s="176">
        <f>X59</f>
        <v>8.8099999999999995E-4</v>
      </c>
      <c r="Y71" s="266">
        <f t="shared" si="11"/>
        <v>10172.81</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8.8099999999999995E-4</v>
      </c>
      <c r="J72" s="138">
        <f>ROUND(G72*I72,2)</f>
        <v>10172.81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3.0230000000000001E-3</v>
      </c>
      <c r="J85" s="138">
        <f>ROUND(G85*I85,2)</f>
        <v>812631.61</v>
      </c>
      <c r="K85" s="70"/>
      <c r="L85" s="70"/>
      <c r="M85" s="71"/>
      <c r="N85" s="70"/>
      <c r="O85" s="70"/>
      <c r="P85" s="70"/>
      <c r="Q85" s="70"/>
      <c r="R85" s="758" t="s">
        <v>172</v>
      </c>
      <c r="S85" s="758"/>
      <c r="T85" s="758"/>
      <c r="U85" s="253"/>
      <c r="V85" s="171">
        <f>G85</f>
        <v>268816278</v>
      </c>
      <c r="W85" s="239" t="s">
        <v>81</v>
      </c>
      <c r="X85" s="176">
        <f>X56</f>
        <v>7.1599999999999995E-4</v>
      </c>
      <c r="Y85" s="266">
        <f t="shared" ref="Y85:Y87" si="12">ROUND(V85*X85,2)</f>
        <v>192472.46</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3.0230000000000001E-3</v>
      </c>
      <c r="J86" s="138">
        <f>ROUND(G86*I86,2)</f>
        <v>0</v>
      </c>
      <c r="K86" s="70"/>
      <c r="L86" s="71"/>
      <c r="M86" s="76"/>
      <c r="N86" s="76"/>
      <c r="O86" s="76"/>
      <c r="P86" s="76"/>
      <c r="Q86" s="70"/>
      <c r="R86" s="758" t="s">
        <v>173</v>
      </c>
      <c r="S86" s="758"/>
      <c r="T86" s="758"/>
      <c r="U86" s="253"/>
      <c r="V86" s="203">
        <f>G86</f>
        <v>0</v>
      </c>
      <c r="W86" s="239" t="s">
        <v>81</v>
      </c>
      <c r="X86" s="176">
        <f>X56</f>
        <v>7.1599999999999995E-4</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7.6199999999999998E-4</v>
      </c>
      <c r="J87" s="62">
        <f>ROUND(G87*I87,2)</f>
        <v>0</v>
      </c>
      <c r="K87" s="77"/>
      <c r="L87" s="70"/>
      <c r="M87" s="71"/>
      <c r="N87" s="70"/>
      <c r="O87" s="70"/>
      <c r="P87" s="70"/>
      <c r="Q87" s="70"/>
      <c r="R87" s="240" t="s">
        <v>174</v>
      </c>
      <c r="S87" s="240"/>
      <c r="T87" s="240"/>
      <c r="U87" s="253"/>
      <c r="V87" s="203">
        <f>G87</f>
        <v>0</v>
      </c>
      <c r="W87" s="239" t="s">
        <v>81</v>
      </c>
      <c r="X87" s="176">
        <f>X53</f>
        <v>7.6199999999999998E-4</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348.601</v>
      </c>
      <c r="C90" s="245"/>
      <c r="D90" s="915">
        <f>I6</f>
        <v>1.0355000000000001</v>
      </c>
      <c r="E90" s="915"/>
      <c r="F90" s="915"/>
      <c r="G90" s="122">
        <f>'[1]Detail 2025-26 FEFP Second'!AB3</f>
        <v>958.42</v>
      </c>
      <c r="H90" s="47" t="s">
        <v>68</v>
      </c>
      <c r="I90" s="141">
        <f>ROUND(B90*D90*G90,2)</f>
        <v>345966.94</v>
      </c>
      <c r="J90" s="81"/>
      <c r="K90" s="70"/>
      <c r="L90" s="70"/>
      <c r="M90" s="71"/>
      <c r="N90" s="70"/>
      <c r="O90" s="70"/>
      <c r="P90" s="70"/>
      <c r="Q90" s="70"/>
      <c r="R90" s="238" t="s">
        <v>110</v>
      </c>
      <c r="S90" s="251">
        <f>X12+X13+X18+X21+X24</f>
        <v>83</v>
      </c>
      <c r="T90" s="870">
        <f>X6</f>
        <v>1.0355000000000001</v>
      </c>
      <c r="U90" s="870"/>
      <c r="V90" s="122">
        <f>G90</f>
        <v>958.42</v>
      </c>
      <c r="W90" s="182" t="s">
        <v>68</v>
      </c>
      <c r="X90" s="272">
        <f>ROUND(S90*T90*V90,2)</f>
        <v>82372.84</v>
      </c>
      <c r="Y90" s="205"/>
    </row>
    <row r="91" spans="1:26" ht="21" customHeight="1" x14ac:dyDescent="0.25">
      <c r="A91" s="82" t="s">
        <v>60</v>
      </c>
      <c r="B91" s="245">
        <f>I14+I15+I19+I22+I25</f>
        <v>343.73</v>
      </c>
      <c r="C91" s="245"/>
      <c r="D91" s="915">
        <f>I6</f>
        <v>1.0355000000000001</v>
      </c>
      <c r="E91" s="915"/>
      <c r="F91" s="915"/>
      <c r="G91" s="122">
        <f>'[1]Detail 2025-26 FEFP Second'!AC3</f>
        <v>915.09</v>
      </c>
      <c r="H91" s="47" t="s">
        <v>68</v>
      </c>
      <c r="I91" s="140">
        <f>ROUND(B91*D91*G91,2)</f>
        <v>325710.19</v>
      </c>
      <c r="K91" s="70"/>
      <c r="L91" s="70"/>
      <c r="M91" s="71"/>
      <c r="N91" s="70"/>
      <c r="O91" s="70"/>
      <c r="P91" s="70"/>
      <c r="Q91" s="70"/>
      <c r="R91" s="206" t="s">
        <v>60</v>
      </c>
      <c r="S91" s="251">
        <f>X14+X15+X19+X22+X25</f>
        <v>81</v>
      </c>
      <c r="T91" s="870">
        <f>X6</f>
        <v>1.0355000000000001</v>
      </c>
      <c r="U91" s="870"/>
      <c r="V91" s="122">
        <f>G91</f>
        <v>915.09</v>
      </c>
      <c r="W91" s="182" t="s">
        <v>68</v>
      </c>
      <c r="X91" s="272">
        <f>ROUND(S91*T91*V91,2)</f>
        <v>76753.63</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692.33100000000002</v>
      </c>
      <c r="C93" s="109"/>
      <c r="D93" s="109"/>
      <c r="E93" s="867" t="s">
        <v>112</v>
      </c>
      <c r="F93" s="867"/>
      <c r="G93" s="867"/>
      <c r="H93" s="867"/>
      <c r="I93" s="867"/>
      <c r="J93" s="127">
        <f>IF(A1=75,0,I92+I91+I90)</f>
        <v>671677.13</v>
      </c>
      <c r="K93" s="70"/>
      <c r="L93" s="70"/>
      <c r="M93" s="71"/>
      <c r="N93" s="70"/>
      <c r="O93" s="70"/>
      <c r="P93" s="70"/>
      <c r="Q93" s="70"/>
      <c r="R93" s="252" t="s">
        <v>111</v>
      </c>
      <c r="S93" s="210">
        <f>SUM(S90:S92)</f>
        <v>164</v>
      </c>
      <c r="T93" s="874" t="s">
        <v>112</v>
      </c>
      <c r="U93" s="875"/>
      <c r="V93" s="875"/>
      <c r="W93" s="875"/>
      <c r="X93" s="875"/>
      <c r="Y93" s="266">
        <f>IF(R1=75,0,X92+X91+X90)</f>
        <v>159126.47</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0</v>
      </c>
      <c r="D97" s="279">
        <v>0</v>
      </c>
      <c r="E97" s="941">
        <f>(C97+D97)/2</f>
        <v>0</v>
      </c>
      <c r="F97" s="941"/>
      <c r="G97" s="94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1">
        <f>(C98+D98)/2</f>
        <v>0</v>
      </c>
      <c r="F98" s="941"/>
      <c r="G98" s="94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839" t="s">
        <v>125</v>
      </c>
      <c r="B107" s="839"/>
      <c r="C107" s="839"/>
      <c r="D107" s="839"/>
      <c r="E107" s="839"/>
      <c r="F107" s="839"/>
      <c r="G107" s="839"/>
      <c r="H107" s="839"/>
      <c r="I107" s="839"/>
      <c r="J107" s="95">
        <f>SUM(J106,J105,J98,J97,J93,J86,J85,J71,J70,J68,J33,J72,J50,J87,J84)</f>
        <v>5409536.4199999999</v>
      </c>
      <c r="L107" s="575"/>
      <c r="R107" s="758" t="s">
        <v>125</v>
      </c>
      <c r="S107" s="758"/>
      <c r="T107" s="758"/>
      <c r="U107" s="758"/>
      <c r="V107" s="758"/>
      <c r="W107" s="758"/>
      <c r="X107" s="758"/>
      <c r="Y107" s="219">
        <f>SUM(Y106,Y105,Y97,Y96,Y93,Y86,Y85,Y84,Y70,Y69,Y67,Y33,Y71,Y50,Y87,Y83)</f>
        <v>1327146.3299999998</v>
      </c>
    </row>
    <row r="108" spans="1:25" ht="15.75" customHeight="1" thickTop="1" x14ac:dyDescent="0.25">
      <c r="A108" s="817"/>
      <c r="B108" s="817"/>
      <c r="C108" s="817"/>
      <c r="D108" s="817"/>
      <c r="E108" s="817"/>
      <c r="F108" s="817"/>
      <c r="G108" s="817"/>
      <c r="H108" s="817"/>
      <c r="I108" s="817"/>
      <c r="J108" s="817"/>
      <c r="R108" s="855"/>
      <c r="S108" s="855"/>
      <c r="T108" s="855"/>
      <c r="U108" s="855"/>
      <c r="V108" s="855"/>
      <c r="W108" s="855"/>
      <c r="X108" s="855"/>
      <c r="Y108" s="855"/>
    </row>
    <row r="109" spans="1:25" ht="17.25" customHeight="1" thickBot="1" x14ac:dyDescent="0.3">
      <c r="A109" s="841" t="s">
        <v>131</v>
      </c>
      <c r="B109" s="841"/>
      <c r="C109" s="841"/>
      <c r="D109" s="841"/>
      <c r="E109" s="841"/>
      <c r="F109" s="817"/>
      <c r="G109" s="817"/>
      <c r="H109" s="817"/>
      <c r="I109" s="2" t="s">
        <v>132</v>
      </c>
      <c r="J109" s="581">
        <f>J107-J38</f>
        <v>5131831.4399999995</v>
      </c>
      <c r="R109" s="170" t="s">
        <v>180</v>
      </c>
      <c r="S109" s="170"/>
      <c r="T109" s="170"/>
      <c r="U109" s="170"/>
      <c r="V109" s="170"/>
      <c r="W109" s="170"/>
      <c r="X109" s="170"/>
      <c r="Y109" s="220">
        <f>Y107-Y38</f>
        <v>1261363.3299999998</v>
      </c>
    </row>
    <row r="110" spans="1:25" ht="18.75" customHeight="1" thickTop="1" x14ac:dyDescent="0.25">
      <c r="A110" s="841" t="s">
        <v>133</v>
      </c>
      <c r="B110" s="841"/>
      <c r="C110" s="841"/>
      <c r="D110" s="841"/>
      <c r="E110" s="841"/>
      <c r="F110" s="841"/>
      <c r="G110" s="841"/>
      <c r="H110" s="841"/>
      <c r="I110" s="235" t="s">
        <v>134</v>
      </c>
      <c r="J110" s="72"/>
      <c r="R110" s="851" t="s">
        <v>136</v>
      </c>
      <c r="S110" s="851"/>
      <c r="T110" s="851"/>
      <c r="U110" s="851"/>
      <c r="V110" s="851"/>
      <c r="W110" s="851"/>
      <c r="X110" s="851"/>
      <c r="Y110" s="851"/>
    </row>
    <row r="111" spans="1:25" ht="15.75" customHeight="1" x14ac:dyDescent="0.25">
      <c r="A111" s="848" t="s">
        <v>135</v>
      </c>
      <c r="B111" s="848"/>
      <c r="C111" s="848"/>
      <c r="D111" s="848"/>
      <c r="E111" s="848"/>
      <c r="F111" s="848"/>
      <c r="G111" s="848"/>
      <c r="H111" s="848"/>
      <c r="I111" s="280">
        <v>1</v>
      </c>
      <c r="J111" s="137">
        <f>Y109</f>
        <v>1261363.3299999998</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601"/>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716"/>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7">
        <f>IF(I111=1,J111,J109)</f>
        <v>1261363.3299999998</v>
      </c>
      <c r="J114" s="718">
        <f>ROUND(IF(E28=0,0,IF(E28&gt;250,-(((250/E28)*I114)*IF(H113="H",0.02,0.05)),IF(H113="H",-0.02*I114,-0.05*I114))),2)</f>
        <v>-63068.17</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5346468.25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19"/>
      <c r="I118" s="720"/>
      <c r="J118" s="725">
        <f>-'Cumulative Payments'!R76</f>
        <v>-886268.8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4460199.45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446019.95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217D-A104-449F-ADF7-38AE2D62508B}">
  <dimension ref="A1:Z207"/>
  <sheetViews>
    <sheetView topLeftCell="A77" workbookViewId="0">
      <selection activeCell="L108" sqref="L108"/>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443</v>
      </c>
      <c r="B2" s="102"/>
      <c r="C2" s="102"/>
      <c r="D2" s="102"/>
      <c r="E2" s="100"/>
      <c r="F2" s="100"/>
      <c r="G2" s="100"/>
      <c r="H2" s="100"/>
      <c r="I2" s="100"/>
      <c r="J2" s="100"/>
      <c r="K2" s="6"/>
      <c r="L2" s="6"/>
      <c r="M2" s="6"/>
      <c r="N2" s="6"/>
      <c r="O2" s="6"/>
      <c r="P2" s="6"/>
      <c r="Q2" s="6"/>
      <c r="R2" s="920" t="str">
        <f>Revenue_Estimate_Worksheet_for___________Charter_School</f>
        <v>Revenue Estimate Worksheet: Palm Beach Maritime Academy Elementary - 2801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Second'!$C$1:$C$65536,MATCH('2801'!$A$1,'[1]Detail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Second'!$D$1:$D$65536,MATCH('2801'!$A$1,'[1]Detail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120.12</v>
      </c>
      <c r="D12" s="410">
        <v>0</v>
      </c>
      <c r="E12" s="824">
        <f t="shared" ref="E12:E27" si="0">IF($D$28=0,C12*2,C12+D12)</f>
        <v>240.24</v>
      </c>
      <c r="F12" s="824"/>
      <c r="G12" s="825">
        <v>1.1080000000000001</v>
      </c>
      <c r="H12" s="825"/>
      <c r="I12" s="577">
        <f>ROUND(E12*G12,4)</f>
        <v>266.1859</v>
      </c>
      <c r="J12" s="578">
        <f t="shared" ref="J12:J27" si="1">ROUND(ROUND(ROUND(I12*$E$6,4)*($I$6),2)*(MAX($I$7,1)),2)</f>
        <v>1480879.28</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27</v>
      </c>
      <c r="D13" s="414">
        <v>0</v>
      </c>
      <c r="E13" s="832">
        <f t="shared" si="0"/>
        <v>54</v>
      </c>
      <c r="F13" s="832"/>
      <c r="G13" s="833">
        <v>1.1080000000000001</v>
      </c>
      <c r="H13" s="833"/>
      <c r="I13" s="577">
        <f t="shared" ref="I13:I27" si="2">ROUND(E13*G13,4)</f>
        <v>59.832000000000001</v>
      </c>
      <c r="J13" s="578">
        <f t="shared" si="1"/>
        <v>332865</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54.89</v>
      </c>
      <c r="D14" s="414">
        <v>0</v>
      </c>
      <c r="E14" s="832">
        <f t="shared" si="0"/>
        <v>109.78</v>
      </c>
      <c r="F14" s="832"/>
      <c r="G14" s="833">
        <v>1</v>
      </c>
      <c r="H14" s="833"/>
      <c r="I14" s="577">
        <f t="shared" si="2"/>
        <v>109.78</v>
      </c>
      <c r="J14" s="578">
        <f>ROUND(ROUND(ROUND(I14*$E$6,4)*($I$6),2)*(MAX($I$7,1)),2)</f>
        <v>610742.06999999995</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16.5</v>
      </c>
      <c r="D15" s="414">
        <v>0</v>
      </c>
      <c r="E15" s="832">
        <f t="shared" si="0"/>
        <v>33</v>
      </c>
      <c r="F15" s="832"/>
      <c r="G15" s="833">
        <v>1</v>
      </c>
      <c r="H15" s="833"/>
      <c r="I15" s="577">
        <f t="shared" si="2"/>
        <v>33</v>
      </c>
      <c r="J15" s="578">
        <f t="shared" si="1"/>
        <v>183589.8</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58.879999999999995</v>
      </c>
      <c r="D24" s="414">
        <v>0</v>
      </c>
      <c r="E24" s="832">
        <f t="shared" si="0"/>
        <v>117.75999999999999</v>
      </c>
      <c r="F24" s="832"/>
      <c r="G24" s="833">
        <v>1.165</v>
      </c>
      <c r="H24" s="833"/>
      <c r="I24" s="577">
        <f t="shared" si="2"/>
        <v>137.19040000000001</v>
      </c>
      <c r="J24" s="578">
        <f t="shared" si="1"/>
        <v>763235.1</v>
      </c>
      <c r="M24" s="2"/>
      <c r="R24" s="756" t="s">
        <v>32</v>
      </c>
      <c r="S24" s="756"/>
      <c r="T24" s="897">
        <f t="shared" si="3"/>
        <v>0</v>
      </c>
      <c r="U24" s="897"/>
      <c r="V24" s="896">
        <v>1</v>
      </c>
      <c r="W24" s="896"/>
      <c r="X24" s="156">
        <f t="shared" si="4"/>
        <v>0</v>
      </c>
      <c r="Y24" s="266">
        <f t="shared" si="6"/>
        <v>0</v>
      </c>
    </row>
    <row r="25" spans="1:25" x14ac:dyDescent="0.25">
      <c r="A25" s="757" t="s">
        <v>33</v>
      </c>
      <c r="B25" s="757"/>
      <c r="C25" s="414">
        <v>12.11</v>
      </c>
      <c r="D25" s="414">
        <v>0</v>
      </c>
      <c r="E25" s="832">
        <f t="shared" si="0"/>
        <v>24.22</v>
      </c>
      <c r="F25" s="832"/>
      <c r="G25" s="833">
        <v>1.165</v>
      </c>
      <c r="H25" s="833"/>
      <c r="I25" s="577">
        <f t="shared" si="2"/>
        <v>28.2163</v>
      </c>
      <c r="J25" s="578">
        <f t="shared" si="1"/>
        <v>156976.51</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712">
        <f>SUM(C12:C27)</f>
        <v>289.5</v>
      </c>
      <c r="D28" s="126">
        <f>SUM(D12:D27)</f>
        <v>0</v>
      </c>
      <c r="E28" s="837">
        <f>SUM(E12:E27)</f>
        <v>579</v>
      </c>
      <c r="F28" s="837"/>
      <c r="G28" s="838"/>
      <c r="H28" s="838"/>
      <c r="I28" s="23">
        <f>SUM(I12:I27)</f>
        <v>634.20460000000003</v>
      </c>
      <c r="J28" s="127">
        <f>SUM(J12:J27)</f>
        <v>3528287.76</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634.20460000000003</v>
      </c>
      <c r="H33" s="838" t="s">
        <v>45</v>
      </c>
      <c r="I33" s="838"/>
      <c r="J33" s="32">
        <f>SUM(J32,J28)</f>
        <v>3528287.76</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3528287.76</v>
      </c>
      <c r="H36" s="223" t="s">
        <v>49</v>
      </c>
      <c r="I36" s="38">
        <v>6.6699999999999995E-2</v>
      </c>
      <c r="J36" s="131">
        <f>ROUND(G36*I36,2)</f>
        <v>235336.79</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3528287.76</v>
      </c>
      <c r="H37" s="223" t="s">
        <v>49</v>
      </c>
      <c r="I37" s="38">
        <v>5.4000000000000003E-3</v>
      </c>
      <c r="J37" s="131">
        <f>ROUND(G37*I37,2)</f>
        <v>19052.75</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254389.54</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23.5</v>
      </c>
      <c r="D41" s="414">
        <v>0</v>
      </c>
      <c r="E41" s="847">
        <f t="shared" ref="E41:E49" si="7">IF($D$50=0,C41*2,C41+D41)</f>
        <v>47</v>
      </c>
      <c r="F41" s="847"/>
      <c r="G41" s="223" t="s">
        <v>59</v>
      </c>
      <c r="H41" s="223">
        <v>251</v>
      </c>
      <c r="I41" s="136">
        <f>INDEX('[1]111-112-113 ADDITIONAL FUND'!D$1:D$65536,MATCH($A$1,'[1]111-112-113 ADDITIONAL FUND'!A$1:A$65536))</f>
        <v>1047</v>
      </c>
      <c r="J41" s="137">
        <f t="shared" ref="J41:J49" si="8">ROUND(E41*I41,2)</f>
        <v>49209</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3</v>
      </c>
      <c r="D42" s="414">
        <v>0</v>
      </c>
      <c r="E42" s="847">
        <f t="shared" si="7"/>
        <v>6</v>
      </c>
      <c r="F42" s="847"/>
      <c r="G42" s="223" t="s">
        <v>59</v>
      </c>
      <c r="H42" s="223">
        <v>252</v>
      </c>
      <c r="I42" s="136">
        <f>INDEX('[1]111-112-113 ADDITIONAL FUND'!E$1:E$65536,MATCH($A$1,'[1]111-112-113 ADDITIONAL FUND'!A$1:A$65536))</f>
        <v>3380</v>
      </c>
      <c r="J42" s="137">
        <f t="shared" si="8"/>
        <v>20280</v>
      </c>
      <c r="M42" s="2"/>
      <c r="R42" s="906"/>
      <c r="S42" s="906"/>
      <c r="T42" s="907"/>
      <c r="U42" s="907"/>
      <c r="V42" s="239" t="s">
        <v>59</v>
      </c>
      <c r="W42" s="239">
        <v>252</v>
      </c>
      <c r="X42" s="134">
        <f t="shared" si="9"/>
        <v>3380</v>
      </c>
      <c r="Y42" s="269">
        <f t="shared" ref="Y42:Y49" si="10">ROUND(T42*X42,2)</f>
        <v>0</v>
      </c>
    </row>
    <row r="43" spans="1:25" x14ac:dyDescent="0.25">
      <c r="A43" s="846"/>
      <c r="B43" s="846"/>
      <c r="C43" s="414">
        <v>0.5</v>
      </c>
      <c r="D43" s="414">
        <v>0</v>
      </c>
      <c r="E43" s="847">
        <f t="shared" si="7"/>
        <v>1</v>
      </c>
      <c r="F43" s="847"/>
      <c r="G43" s="223" t="s">
        <v>59</v>
      </c>
      <c r="H43" s="223">
        <v>253</v>
      </c>
      <c r="I43" s="136">
        <f>INDEX('[1]111-112-113 ADDITIONAL FUND'!F$1:F$65536,MATCH($A$1,'[1]111-112-113 ADDITIONAL FUND'!A$1:A$65536))</f>
        <v>6896</v>
      </c>
      <c r="J43" s="137">
        <f t="shared" si="8"/>
        <v>6896</v>
      </c>
      <c r="M43" s="2"/>
      <c r="R43" s="906"/>
      <c r="S43" s="906"/>
      <c r="T43" s="888"/>
      <c r="U43" s="888"/>
      <c r="V43" s="239" t="s">
        <v>59</v>
      </c>
      <c r="W43" s="239">
        <v>253</v>
      </c>
      <c r="X43" s="134">
        <f t="shared" si="9"/>
        <v>6896</v>
      </c>
      <c r="Y43" s="269">
        <f t="shared" si="10"/>
        <v>0</v>
      </c>
    </row>
    <row r="44" spans="1:25" ht="20.25" customHeight="1" x14ac:dyDescent="0.25">
      <c r="A44" s="846"/>
      <c r="B44" s="846"/>
      <c r="C44" s="414">
        <v>16.5</v>
      </c>
      <c r="D44" s="414">
        <v>0</v>
      </c>
      <c r="E44" s="847">
        <f t="shared" si="7"/>
        <v>33</v>
      </c>
      <c r="F44" s="847"/>
      <c r="G44" s="47" t="s">
        <v>60</v>
      </c>
      <c r="H44" s="223">
        <v>251</v>
      </c>
      <c r="I44" s="136">
        <f>INDEX('[1]111-112-113 ADDITIONAL FUND'!G$1:G$65536,MATCH($A$1,'[1]111-112-113 ADDITIONAL FUND'!A$1:A$65536))</f>
        <v>1173</v>
      </c>
      <c r="J44" s="137">
        <f t="shared" si="8"/>
        <v>38709</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46">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706">
        <f>SUM(C41:C49)</f>
        <v>43.5</v>
      </c>
      <c r="D50" s="706">
        <f>SUM(D41:D49)</f>
        <v>0</v>
      </c>
      <c r="E50" s="853">
        <f>SUM(E41:E49)</f>
        <v>87</v>
      </c>
      <c r="F50" s="853"/>
      <c r="G50" s="839" t="s">
        <v>63</v>
      </c>
      <c r="H50" s="839"/>
      <c r="I50" s="839"/>
      <c r="J50" s="276">
        <f>SUM(J41:J49)</f>
        <v>115094</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579</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2.689E-3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634.20460000000003</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2.7690000000000002E-3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579</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3.1099999999999999E-3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579</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2.6930000000000001E-3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579</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3.1150000000000001E-3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2.6930000000000001E-3</v>
      </c>
      <c r="J68" s="138">
        <f>ROUND(G68*I68,2)</f>
        <v>127353.98</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2.689E-3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3.1150000000000001E-3</v>
      </c>
      <c r="J71" s="138">
        <f>ROUND(G71*I71,2)</f>
        <v>59707.95</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3.1099999999999999E-3</v>
      </c>
      <c r="J72" s="138">
        <f>ROUND(G72*I72,2)</f>
        <v>35910.82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2.7690000000000002E-3</v>
      </c>
      <c r="J85" s="138">
        <f>ROUND(G85*I85,2)</f>
        <v>744352.27</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2.7690000000000002E-3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2.689E-3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463.20830000000001</v>
      </c>
      <c r="C90" s="245"/>
      <c r="D90" s="915">
        <f>I6</f>
        <v>1.0355000000000001</v>
      </c>
      <c r="E90" s="915"/>
      <c r="F90" s="915"/>
      <c r="G90" s="122">
        <f>'[1]Detail 2025-26 FEFP Second'!AB3</f>
        <v>958.42</v>
      </c>
      <c r="H90" s="47" t="s">
        <v>68</v>
      </c>
      <c r="I90" s="141">
        <f>ROUND(B90*D90*G90,2)</f>
        <v>459708.26</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170.99629999999999</v>
      </c>
      <c r="C91" s="245"/>
      <c r="D91" s="915">
        <f>I6</f>
        <v>1.0355000000000001</v>
      </c>
      <c r="E91" s="915"/>
      <c r="F91" s="915"/>
      <c r="G91" s="122">
        <f>'[1]Detail 2025-26 FEFP Second'!AC3</f>
        <v>915.09</v>
      </c>
      <c r="H91" s="47" t="s">
        <v>68</v>
      </c>
      <c r="I91" s="140">
        <f>ROUND(B91*D91*G91,2)</f>
        <v>162031.94</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634.20460000000003</v>
      </c>
      <c r="C93" s="109"/>
      <c r="D93" s="109"/>
      <c r="E93" s="867" t="s">
        <v>112</v>
      </c>
      <c r="F93" s="867"/>
      <c r="G93" s="867"/>
      <c r="H93" s="867"/>
      <c r="I93" s="867"/>
      <c r="J93" s="127">
        <f>IF(A1=75,0,I92+I91+I90)</f>
        <v>621740.19999999995</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215</v>
      </c>
      <c r="D97" s="279">
        <v>217</v>
      </c>
      <c r="E97" s="941">
        <f>(C97+D97)/2</f>
        <v>216</v>
      </c>
      <c r="F97" s="941"/>
      <c r="G97" s="941"/>
      <c r="H97" s="224" t="s">
        <v>117</v>
      </c>
      <c r="I97" s="130">
        <f>IF(A1&gt;67,0,INDEX('[1]Transportation Per Student'!F$1:F$65536,MATCH(A1,'[1]Transportation Per Student'!B$1:B$65536)))</f>
        <v>617</v>
      </c>
      <c r="J97" s="138">
        <f>ROUND(I97*E97,2)</f>
        <v>133272</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1">
        <f>(C98+D98)/2</f>
        <v>0</v>
      </c>
      <c r="F98" s="941"/>
      <c r="G98" s="94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839" t="s">
        <v>125</v>
      </c>
      <c r="B107" s="839"/>
      <c r="C107" s="839"/>
      <c r="D107" s="839"/>
      <c r="E107" s="839"/>
      <c r="F107" s="839"/>
      <c r="G107" s="839"/>
      <c r="H107" s="839"/>
      <c r="I107" s="839"/>
      <c r="J107" s="579">
        <f>SUM(J106,J105,J98,J97,J93,J86,J85,J71,J70,J68,J33,J72,J50,J87,J84)</f>
        <v>5365718.9800000004</v>
      </c>
      <c r="L107" s="575"/>
      <c r="R107" s="758" t="s">
        <v>125</v>
      </c>
      <c r="S107" s="758"/>
      <c r="T107" s="758"/>
      <c r="U107" s="758"/>
      <c r="V107" s="758"/>
      <c r="W107" s="758"/>
      <c r="X107" s="758"/>
      <c r="Y107" s="219">
        <f>SUM(Y106,Y105,Y97,Y96,Y93,Y86,Y85,Y84,Y70,Y69,Y67,Y33,Y71,Y50,Y87,Y83)</f>
        <v>0</v>
      </c>
    </row>
    <row r="108" spans="1:25" ht="15.75" customHeight="1" thickTop="1" x14ac:dyDescent="0.25">
      <c r="A108" s="817"/>
      <c r="B108" s="817"/>
      <c r="C108" s="817"/>
      <c r="D108" s="817"/>
      <c r="E108" s="817"/>
      <c r="F108" s="817"/>
      <c r="G108" s="817"/>
      <c r="H108" s="817"/>
      <c r="I108" s="817"/>
      <c r="J108" s="817"/>
      <c r="R108" s="855"/>
      <c r="S108" s="855"/>
      <c r="T108" s="855"/>
      <c r="U108" s="855"/>
      <c r="V108" s="855"/>
      <c r="W108" s="855"/>
      <c r="X108" s="855"/>
      <c r="Y108" s="855"/>
    </row>
    <row r="109" spans="1:25" ht="17.25" customHeight="1" thickBot="1" x14ac:dyDescent="0.3">
      <c r="A109" s="841" t="s">
        <v>131</v>
      </c>
      <c r="B109" s="841"/>
      <c r="C109" s="841"/>
      <c r="D109" s="841"/>
      <c r="E109" s="841"/>
      <c r="F109" s="817"/>
      <c r="G109" s="817"/>
      <c r="H109" s="817"/>
      <c r="I109" s="2" t="s">
        <v>132</v>
      </c>
      <c r="J109" s="581">
        <f>J107-J38</f>
        <v>5111329.4400000004</v>
      </c>
      <c r="R109" s="170" t="s">
        <v>180</v>
      </c>
      <c r="S109" s="170"/>
      <c r="T109" s="170"/>
      <c r="U109" s="170"/>
      <c r="V109" s="170"/>
      <c r="W109" s="170"/>
      <c r="X109" s="170"/>
      <c r="Y109" s="220">
        <f>Y107-Y38</f>
        <v>0</v>
      </c>
    </row>
    <row r="110" spans="1:25" ht="18.75" customHeight="1" thickTop="1" x14ac:dyDescent="0.25">
      <c r="A110" s="841" t="s">
        <v>133</v>
      </c>
      <c r="B110" s="841"/>
      <c r="C110" s="841"/>
      <c r="D110" s="841"/>
      <c r="E110" s="841"/>
      <c r="F110" s="841"/>
      <c r="G110" s="841"/>
      <c r="H110" s="841"/>
      <c r="I110" s="235" t="s">
        <v>134</v>
      </c>
      <c r="J110" s="72"/>
      <c r="R110" s="851" t="s">
        <v>136</v>
      </c>
      <c r="S110" s="851"/>
      <c r="T110" s="851"/>
      <c r="U110" s="851"/>
      <c r="V110" s="851"/>
      <c r="W110" s="851"/>
      <c r="X110" s="851"/>
      <c r="Y110" s="851"/>
    </row>
    <row r="111" spans="1:25" ht="15.75" customHeight="1" x14ac:dyDescent="0.25">
      <c r="A111" s="848" t="s">
        <v>135</v>
      </c>
      <c r="B111" s="848"/>
      <c r="C111" s="848"/>
      <c r="D111" s="848"/>
      <c r="E111" s="848"/>
      <c r="F111" s="848"/>
      <c r="G111" s="848"/>
      <c r="H111" s="848"/>
      <c r="I111" s="280"/>
      <c r="J111" s="46">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601"/>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716"/>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7">
        <f>IF(I111=1,J111,J109)</f>
        <v>5111329.4400000004</v>
      </c>
      <c r="J114" s="718">
        <f>ROUND(IF(E28=0,0,IF(E28&gt;250,-(((250/E28)*I114)*IF(H113="H",0.02,0.05)),IF(H113="H",-0.02*I114,-0.05*I114))),2)</f>
        <v>-110348.22</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5255370.7600000007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Payments'!R77</f>
        <v>-872104.52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4383266.24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438326.62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ROUND(IF(H113="H",(I114*0.02)+J114,(I114*0.05)+J114),2)</f>
        <v>145218.25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7AE6-C6F5-4909-B26E-8392DA3E0EDD}">
  <dimension ref="A1:Z207"/>
  <sheetViews>
    <sheetView topLeftCell="A77" workbookViewId="0">
      <selection activeCell="L124" sqref="L124"/>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444</v>
      </c>
      <c r="B2" s="102"/>
      <c r="C2" s="102"/>
      <c r="D2" s="102"/>
      <c r="E2" s="100"/>
      <c r="F2" s="100"/>
      <c r="G2" s="100"/>
      <c r="H2" s="100"/>
      <c r="I2" s="100"/>
      <c r="J2" s="100"/>
      <c r="K2" s="6"/>
      <c r="L2" s="6"/>
      <c r="M2" s="6"/>
      <c r="N2" s="6"/>
      <c r="O2" s="6"/>
      <c r="P2" s="6"/>
      <c r="Q2" s="6"/>
      <c r="R2" s="920" t="str">
        <f>Revenue_Estimate_Worksheet_for___________Charter_School</f>
        <v>Revenue Estimate Worksheet: Western Academy Charter School - 2911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Second'!$C$1:$C$65536,MATCH('2911'!$A$1,'[1]Detail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Second'!$D$1:$D$65536,MATCH('2911'!$A$1,'[1]Detail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119.8</v>
      </c>
      <c r="D12" s="414">
        <v>0</v>
      </c>
      <c r="E12" s="824">
        <f t="shared" ref="E12:E27" si="0">IF($D$28=0,C12*2,C12+D12)</f>
        <v>239.6</v>
      </c>
      <c r="F12" s="824"/>
      <c r="G12" s="825">
        <v>1.1080000000000001</v>
      </c>
      <c r="H12" s="825"/>
      <c r="I12" s="577">
        <f>ROUND(E12*G12,4)</f>
        <v>265.47680000000003</v>
      </c>
      <c r="J12" s="578">
        <f t="shared" ref="J12:J27" si="1">ROUND(ROUND(ROUND(I12*$E$6,4)*($I$6),2)*(MAX($I$7,1)),2)</f>
        <v>1476934.33</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23</v>
      </c>
      <c r="D13" s="414">
        <v>0</v>
      </c>
      <c r="E13" s="832">
        <f t="shared" si="0"/>
        <v>46</v>
      </c>
      <c r="F13" s="832"/>
      <c r="G13" s="833">
        <v>1.1080000000000001</v>
      </c>
      <c r="H13" s="833"/>
      <c r="I13" s="577">
        <f t="shared" ref="I13:I27" si="2">ROUND(E13*G13,4)</f>
        <v>50.968000000000004</v>
      </c>
      <c r="J13" s="578">
        <f t="shared" si="1"/>
        <v>283551.67</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159.5</v>
      </c>
      <c r="D14" s="414">
        <v>0</v>
      </c>
      <c r="E14" s="832">
        <f t="shared" si="0"/>
        <v>319</v>
      </c>
      <c r="F14" s="832"/>
      <c r="G14" s="833">
        <v>1</v>
      </c>
      <c r="H14" s="833"/>
      <c r="I14" s="577">
        <f t="shared" si="2"/>
        <v>319</v>
      </c>
      <c r="J14" s="578">
        <f>ROUND(ROUND(ROUND(I14*$E$6,4)*($I$6),2)*(MAX($I$7,1)),2)</f>
        <v>1774701.41</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43.46</v>
      </c>
      <c r="D15" s="414">
        <v>0</v>
      </c>
      <c r="E15" s="832">
        <f t="shared" si="0"/>
        <v>86.92</v>
      </c>
      <c r="F15" s="832"/>
      <c r="G15" s="833">
        <v>1</v>
      </c>
      <c r="H15" s="833"/>
      <c r="I15" s="577">
        <f t="shared" si="2"/>
        <v>86.92</v>
      </c>
      <c r="J15" s="578">
        <f t="shared" si="1"/>
        <v>483564.41</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7.1999999999999993</v>
      </c>
      <c r="D24" s="414">
        <v>0</v>
      </c>
      <c r="E24" s="832">
        <f t="shared" si="0"/>
        <v>14.399999999999999</v>
      </c>
      <c r="F24" s="832"/>
      <c r="G24" s="833">
        <v>1.165</v>
      </c>
      <c r="H24" s="833"/>
      <c r="I24" s="577">
        <f t="shared" si="2"/>
        <v>16.776</v>
      </c>
      <c r="J24" s="578">
        <f t="shared" si="1"/>
        <v>93330.38</v>
      </c>
      <c r="M24" s="2"/>
      <c r="R24" s="756" t="s">
        <v>32</v>
      </c>
      <c r="S24" s="756"/>
      <c r="T24" s="897">
        <f t="shared" si="3"/>
        <v>0</v>
      </c>
      <c r="U24" s="897"/>
      <c r="V24" s="896">
        <v>1</v>
      </c>
      <c r="W24" s="896"/>
      <c r="X24" s="156">
        <f t="shared" si="4"/>
        <v>0</v>
      </c>
      <c r="Y24" s="266">
        <f t="shared" si="6"/>
        <v>0</v>
      </c>
    </row>
    <row r="25" spans="1:25" x14ac:dyDescent="0.25">
      <c r="A25" s="757" t="s">
        <v>33</v>
      </c>
      <c r="B25" s="757"/>
      <c r="C25" s="414">
        <v>1.4100000000000001</v>
      </c>
      <c r="D25" s="414">
        <v>0</v>
      </c>
      <c r="E25" s="832">
        <f t="shared" si="0"/>
        <v>2.8200000000000003</v>
      </c>
      <c r="F25" s="832"/>
      <c r="G25" s="833">
        <v>1.165</v>
      </c>
      <c r="H25" s="833"/>
      <c r="I25" s="577">
        <f t="shared" si="2"/>
        <v>3.2852999999999999</v>
      </c>
      <c r="J25" s="578">
        <f t="shared" si="1"/>
        <v>18277.2</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354.37</v>
      </c>
      <c r="D28" s="126">
        <f>SUM(D12:D27)</f>
        <v>0</v>
      </c>
      <c r="E28" s="837">
        <f>SUM(E12:E27)</f>
        <v>708.74</v>
      </c>
      <c r="F28" s="837"/>
      <c r="G28" s="838"/>
      <c r="H28" s="838"/>
      <c r="I28" s="23">
        <f>SUM(I12:I27)</f>
        <v>742.42609999999991</v>
      </c>
      <c r="J28" s="127">
        <f>SUM(J12:J27)</f>
        <v>4130359.4000000004</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742.42609999999991</v>
      </c>
      <c r="H33" s="838" t="s">
        <v>45</v>
      </c>
      <c r="I33" s="838"/>
      <c r="J33" s="32">
        <f>SUM(J32,J28)</f>
        <v>4130359.4000000004</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4130359.4</v>
      </c>
      <c r="H36" s="223" t="s">
        <v>49</v>
      </c>
      <c r="I36" s="38">
        <v>6.6699999999999995E-2</v>
      </c>
      <c r="J36" s="131">
        <f>ROUND(G36*I36,2)</f>
        <v>275494.96999999997</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4130359.4</v>
      </c>
      <c r="H37" s="223" t="s">
        <v>49</v>
      </c>
      <c r="I37" s="38">
        <v>5.4000000000000003E-3</v>
      </c>
      <c r="J37" s="131">
        <f>ROUND(G37*I37,2)</f>
        <v>22303.94</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297798.90999999997</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19</v>
      </c>
      <c r="D41" s="414">
        <v>0</v>
      </c>
      <c r="E41" s="847">
        <f t="shared" ref="E41:E49" si="7">IF($D$50=0,C41*2,C41+D41)</f>
        <v>38</v>
      </c>
      <c r="F41" s="847"/>
      <c r="G41" s="223" t="s">
        <v>59</v>
      </c>
      <c r="H41" s="223">
        <v>251</v>
      </c>
      <c r="I41" s="136">
        <f>INDEX('[1]111-112-113 ADDITIONAL FUND'!D$1:D$65536,MATCH($A$1,'[1]111-112-113 ADDITIONAL FUND'!A$1:A$65536))</f>
        <v>1047</v>
      </c>
      <c r="J41" s="46">
        <f t="shared" ref="J41:J49" si="8">ROUND(E41*I41,2)</f>
        <v>39786</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4</v>
      </c>
      <c r="D42" s="414">
        <v>0</v>
      </c>
      <c r="E42" s="847">
        <f t="shared" si="7"/>
        <v>8</v>
      </c>
      <c r="F42" s="847"/>
      <c r="G42" s="223" t="s">
        <v>59</v>
      </c>
      <c r="H42" s="223">
        <v>252</v>
      </c>
      <c r="I42" s="136">
        <f>INDEX('[1]111-112-113 ADDITIONAL FUND'!E$1:E$65536,MATCH($A$1,'[1]111-112-113 ADDITIONAL FUND'!A$1:A$65536))</f>
        <v>3380</v>
      </c>
      <c r="J42" s="46">
        <f t="shared" si="8"/>
        <v>27040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36.43</v>
      </c>
      <c r="D44" s="414">
        <v>0</v>
      </c>
      <c r="E44" s="847">
        <f t="shared" si="7"/>
        <v>72.86</v>
      </c>
      <c r="F44" s="847"/>
      <c r="G44" s="47" t="s">
        <v>60</v>
      </c>
      <c r="H44" s="223">
        <v>251</v>
      </c>
      <c r="I44" s="136">
        <f>INDEX('[1]111-112-113 ADDITIONAL FUND'!G$1:G$65536,MATCH($A$1,'[1]111-112-113 ADDITIONAL FUND'!A$1:A$65536))</f>
        <v>1173</v>
      </c>
      <c r="J44" s="137">
        <f t="shared" si="8"/>
        <v>85464.78</v>
      </c>
      <c r="L44" s="3"/>
      <c r="M44" s="2"/>
      <c r="Q44" s="4"/>
      <c r="R44" s="906"/>
      <c r="S44" s="906"/>
      <c r="T44" s="888"/>
      <c r="U44" s="888"/>
      <c r="V44" s="182" t="s">
        <v>60</v>
      </c>
      <c r="W44" s="239">
        <v>251</v>
      </c>
      <c r="X44" s="134">
        <f t="shared" si="9"/>
        <v>1173</v>
      </c>
      <c r="Y44" s="269">
        <f t="shared" si="10"/>
        <v>0</v>
      </c>
    </row>
    <row r="45" spans="1:25" x14ac:dyDescent="0.25">
      <c r="A45" s="846"/>
      <c r="B45" s="846"/>
      <c r="C45" s="414">
        <v>7.03</v>
      </c>
      <c r="D45" s="414">
        <v>0</v>
      </c>
      <c r="E45" s="847">
        <f t="shared" si="7"/>
        <v>14.06</v>
      </c>
      <c r="F45" s="847"/>
      <c r="G45" s="47" t="s">
        <v>60</v>
      </c>
      <c r="H45" s="223">
        <v>252</v>
      </c>
      <c r="I45" s="136">
        <f>INDEX('[1]111-112-113 ADDITIONAL FUND'!H$1:H$65536,MATCH($A$1,'[1]111-112-113 ADDITIONAL FUND'!A$1:A$65536))</f>
        <v>3506</v>
      </c>
      <c r="J45" s="46">
        <f t="shared" si="8"/>
        <v>49294.36</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233">
        <f>SUM(C41:C49)</f>
        <v>66.459999999999994</v>
      </c>
      <c r="D50" s="233">
        <f>SUM(D41:D49)</f>
        <v>0</v>
      </c>
      <c r="E50" s="853">
        <f>SUM(E41:E49)</f>
        <v>132.91999999999999</v>
      </c>
      <c r="F50" s="853"/>
      <c r="G50" s="839" t="s">
        <v>63</v>
      </c>
      <c r="H50" s="839"/>
      <c r="I50" s="839"/>
      <c r="J50" s="276">
        <f>SUM(J41:J49)</f>
        <v>201585.14</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708.74</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3.2919999999999998E-3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742.42609999999991</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3.241E-3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708.74</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3.8070000000000001E-3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708.74</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3.2959999999999999E-3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708.74</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3.813E-3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3.2959999999999999E-3</v>
      </c>
      <c r="J68" s="138">
        <f>ROUND(G68*I68,2)</f>
        <v>155870.29999999999</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3.2919999999999998E-3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3.813E-3</v>
      </c>
      <c r="J71" s="138">
        <f>ROUND(G71*I71,2)</f>
        <v>73087.13</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3.8070000000000001E-3</v>
      </c>
      <c r="J72" s="138">
        <f>ROUND(G72*I72,2)</f>
        <v>43959.01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3.241E-3</v>
      </c>
      <c r="J85" s="138">
        <f>ROUND(G85*I85,2)</f>
        <v>871233.56</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3.241E-3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3.2919999999999998E-3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333.22080000000005</v>
      </c>
      <c r="C90" s="245"/>
      <c r="D90" s="915">
        <f>I6</f>
        <v>1.0355000000000001</v>
      </c>
      <c r="E90" s="915"/>
      <c r="F90" s="915"/>
      <c r="G90" s="122">
        <f>'[1]Detail 2025-26 FEFP Second'!AB3</f>
        <v>958.42</v>
      </c>
      <c r="H90" s="47" t="s">
        <v>68</v>
      </c>
      <c r="I90" s="141">
        <f>ROUND(B90*D90*G90,2)</f>
        <v>330702.95</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409.20530000000002</v>
      </c>
      <c r="C91" s="245"/>
      <c r="D91" s="915">
        <f>I6</f>
        <v>1.0355000000000001</v>
      </c>
      <c r="E91" s="915"/>
      <c r="F91" s="915"/>
      <c r="G91" s="122">
        <f>'[1]Detail 2025-26 FEFP Second'!AC3</f>
        <v>915.09</v>
      </c>
      <c r="H91" s="47" t="s">
        <v>68</v>
      </c>
      <c r="I91" s="140">
        <f>ROUND(B91*D91*G91,2)</f>
        <v>387753</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742.42610000000013</v>
      </c>
      <c r="C93" s="109"/>
      <c r="D93" s="109"/>
      <c r="E93" s="867" t="s">
        <v>112</v>
      </c>
      <c r="F93" s="867"/>
      <c r="G93" s="867"/>
      <c r="H93" s="867"/>
      <c r="I93" s="867"/>
      <c r="J93" s="127">
        <f>IF(A1=75,0,I92+I91+I90)</f>
        <v>718455.95</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0</v>
      </c>
      <c r="D97" s="279">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839" t="s">
        <v>125</v>
      </c>
      <c r="B107" s="839"/>
      <c r="C107" s="839"/>
      <c r="D107" s="839"/>
      <c r="E107" s="839"/>
      <c r="F107" s="839"/>
      <c r="G107" s="839"/>
      <c r="H107" s="839"/>
      <c r="I107" s="839"/>
      <c r="J107" s="579">
        <f>SUM(J106,J105,J98,J97,J93,J86,J85,J71,J70,J68,J33,J72,J50,J87,J84)</f>
        <v>6194550.4900000002</v>
      </c>
      <c r="L107" s="575"/>
      <c r="R107" s="758" t="s">
        <v>125</v>
      </c>
      <c r="S107" s="758"/>
      <c r="T107" s="758"/>
      <c r="U107" s="758"/>
      <c r="V107" s="758"/>
      <c r="W107" s="758"/>
      <c r="X107" s="758"/>
      <c r="Y107" s="219">
        <f>SUM(Y106,Y105,Y97,Y96,Y93,Y86,Y85,Y84,Y70,Y69,Y67,Y33,Y71,Y50,Y87,Y83)</f>
        <v>0</v>
      </c>
    </row>
    <row r="108" spans="1:25" ht="15.75" customHeight="1" thickTop="1" x14ac:dyDescent="0.25">
      <c r="A108" s="817"/>
      <c r="B108" s="817"/>
      <c r="C108" s="817"/>
      <c r="D108" s="817"/>
      <c r="E108" s="817"/>
      <c r="F108" s="817"/>
      <c r="G108" s="817"/>
      <c r="H108" s="817"/>
      <c r="I108" s="817"/>
      <c r="J108" s="817"/>
      <c r="R108" s="855"/>
      <c r="S108" s="855"/>
      <c r="T108" s="855"/>
      <c r="U108" s="855"/>
      <c r="V108" s="855"/>
      <c r="W108" s="855"/>
      <c r="X108" s="855"/>
      <c r="Y108" s="855"/>
    </row>
    <row r="109" spans="1:25" ht="17.25" customHeight="1" thickBot="1" x14ac:dyDescent="0.3">
      <c r="A109" s="841" t="s">
        <v>131</v>
      </c>
      <c r="B109" s="841"/>
      <c r="C109" s="841"/>
      <c r="D109" s="841"/>
      <c r="E109" s="841"/>
      <c r="F109" s="817"/>
      <c r="G109" s="817"/>
      <c r="H109" s="817"/>
      <c r="I109" s="2" t="s">
        <v>132</v>
      </c>
      <c r="J109" s="581">
        <f>J107-J38</f>
        <v>5896751.5800000001</v>
      </c>
      <c r="R109" s="170" t="s">
        <v>180</v>
      </c>
      <c r="S109" s="170"/>
      <c r="T109" s="170"/>
      <c r="U109" s="170"/>
      <c r="V109" s="170"/>
      <c r="W109" s="170"/>
      <c r="X109" s="170"/>
      <c r="Y109" s="220">
        <f>Y107-Y38</f>
        <v>0</v>
      </c>
    </row>
    <row r="110" spans="1:25" ht="18.75" customHeight="1" thickTop="1" x14ac:dyDescent="0.25">
      <c r="A110" s="841" t="s">
        <v>133</v>
      </c>
      <c r="B110" s="841"/>
      <c r="C110" s="841"/>
      <c r="D110" s="841"/>
      <c r="E110" s="841"/>
      <c r="F110" s="841"/>
      <c r="G110" s="841"/>
      <c r="H110" s="841"/>
      <c r="I110" s="235" t="s">
        <v>134</v>
      </c>
      <c r="J110" s="72"/>
      <c r="R110" s="851" t="s">
        <v>136</v>
      </c>
      <c r="S110" s="851"/>
      <c r="T110" s="851"/>
      <c r="U110" s="851"/>
      <c r="V110" s="851"/>
      <c r="W110" s="851"/>
      <c r="X110" s="851"/>
      <c r="Y110" s="851"/>
    </row>
    <row r="111" spans="1:25" ht="15.75" customHeight="1" x14ac:dyDescent="0.25">
      <c r="A111" s="848" t="s">
        <v>135</v>
      </c>
      <c r="B111" s="848"/>
      <c r="C111" s="848"/>
      <c r="D111" s="848"/>
      <c r="E111" s="848"/>
      <c r="F111" s="848"/>
      <c r="G111" s="848"/>
      <c r="H111" s="848"/>
      <c r="I111" s="280"/>
      <c r="J111" s="46">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601"/>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716" t="s">
        <v>436</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7">
        <f>IF(I111=1,J111,J109)</f>
        <v>5896751.5800000001</v>
      </c>
      <c r="J114" s="718">
        <f>ROUND(IF(E28=0,0,IF(E28&gt;250,-(((250/E28)*I114)*IF(H113="H",0.02,0.05)),IF(H113="H",-0.02*I114,-0.05*I114))),2)</f>
        <v>-41600.25</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6152950.2400000002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Payments'!R78</f>
        <v>-1018691.78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5134258.46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513425.85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ROUND(IF(H113="H",(I114*0.02)+J114,(I114*0.05)+J114),2)</f>
        <v>76334.78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82B0-15F7-4F21-969B-FF7A76B8FA8F}">
  <dimension ref="A1:Z207"/>
  <sheetViews>
    <sheetView topLeftCell="A102" workbookViewId="0">
      <selection activeCell="L110" sqref="L110"/>
    </sheetView>
  </sheetViews>
  <sheetFormatPr defaultRowHeight="15.75" x14ac:dyDescent="0.25"/>
  <cols>
    <col min="1" max="1" width="13" style="235" customWidth="1"/>
    <col min="2" max="2" width="37.7109375" style="2" bestFit="1"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445</v>
      </c>
      <c r="B2" s="102"/>
      <c r="C2" s="102"/>
      <c r="D2" s="102"/>
      <c r="E2" s="100"/>
      <c r="F2" s="100"/>
      <c r="G2" s="100"/>
      <c r="H2" s="100"/>
      <c r="I2" s="100"/>
      <c r="J2" s="100"/>
      <c r="K2" s="6"/>
      <c r="L2" s="6"/>
      <c r="M2" s="6"/>
      <c r="N2" s="6"/>
      <c r="O2" s="6"/>
      <c r="P2" s="6"/>
      <c r="Q2" s="6"/>
      <c r="R2" s="920" t="str">
        <f>Revenue_Estimate_Worksheet_for___________Charter_School</f>
        <v>Revenue Estimate Worksheet: Palm Beach School for Autism - 2941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Second'!$C$1:$C$65536,MATCH('2941'!$A$1,'[1]Detail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Second'!$D$1:$D$65536,MATCH('2941'!$A$1,'[1]Detail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0.5</v>
      </c>
      <c r="D12" s="414">
        <v>0</v>
      </c>
      <c r="E12" s="824">
        <f t="shared" ref="E12:E27" si="0">IF($D$28=0,C12*2,C12+D12)</f>
        <v>1</v>
      </c>
      <c r="F12" s="824"/>
      <c r="G12" s="825">
        <v>1.1080000000000001</v>
      </c>
      <c r="H12" s="825"/>
      <c r="I12" s="577">
        <f>ROUND(E12*G12,4)</f>
        <v>1.1080000000000001</v>
      </c>
      <c r="J12" s="578">
        <f t="shared" ref="J12:J27" si="1">ROUND(ROUND(ROUND(I12*$E$6,4)*($I$6),2)*(MAX($I$7,1)),2)</f>
        <v>6164.17</v>
      </c>
      <c r="L12" s="21"/>
      <c r="M12" s="2"/>
      <c r="R12" s="912" t="s">
        <v>20</v>
      </c>
      <c r="S12" s="912"/>
      <c r="T12" s="897">
        <f>IF($I$111=1,E12,0)</f>
        <v>1</v>
      </c>
      <c r="U12" s="897"/>
      <c r="V12" s="913">
        <v>1</v>
      </c>
      <c r="W12" s="913"/>
      <c r="X12" s="156">
        <f>ROUND(T12*V12,4)</f>
        <v>1</v>
      </c>
      <c r="Y12" s="266">
        <f>ROUND(ROUND(ROUND(X12*$E$6,4)*($I$6),2)*(MAX($I$7,1)),2)</f>
        <v>5563.33</v>
      </c>
    </row>
    <row r="13" spans="1:25" x14ac:dyDescent="0.25">
      <c r="A13" s="757" t="s">
        <v>21</v>
      </c>
      <c r="B13" s="757"/>
      <c r="C13" s="414">
        <v>10.5</v>
      </c>
      <c r="D13" s="414">
        <v>0</v>
      </c>
      <c r="E13" s="832">
        <f t="shared" si="0"/>
        <v>21</v>
      </c>
      <c r="F13" s="832"/>
      <c r="G13" s="833">
        <v>1.1080000000000001</v>
      </c>
      <c r="H13" s="833"/>
      <c r="I13" s="577">
        <f t="shared" ref="I13:I27" si="2">ROUND(E13*G13,4)</f>
        <v>23.268000000000001</v>
      </c>
      <c r="J13" s="578">
        <f t="shared" si="1"/>
        <v>129447.5</v>
      </c>
      <c r="L13" s="21"/>
      <c r="M13" s="2"/>
      <c r="R13" s="756" t="s">
        <v>21</v>
      </c>
      <c r="S13" s="756"/>
      <c r="T13" s="897">
        <f t="shared" ref="T13:T27" si="3">IF($I$111=1,E13,0)</f>
        <v>21</v>
      </c>
      <c r="U13" s="897"/>
      <c r="V13" s="896">
        <v>1</v>
      </c>
      <c r="W13" s="896"/>
      <c r="X13" s="156">
        <f t="shared" ref="X13:X27" si="4">ROUND(T13*V13,4)</f>
        <v>21</v>
      </c>
      <c r="Y13" s="266">
        <f t="shared" ref="Y13" si="5">ROUND(ROUND(ROUND(X13*$E$6,4)*($I$6),2)*(MAX($I$7,1)),2)</f>
        <v>116829.87</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13</v>
      </c>
      <c r="D15" s="414">
        <v>0</v>
      </c>
      <c r="E15" s="832">
        <f t="shared" si="0"/>
        <v>26</v>
      </c>
      <c r="F15" s="832"/>
      <c r="G15" s="833">
        <v>1</v>
      </c>
      <c r="H15" s="833"/>
      <c r="I15" s="577">
        <f t="shared" si="2"/>
        <v>26</v>
      </c>
      <c r="J15" s="578">
        <f t="shared" si="1"/>
        <v>144646.51</v>
      </c>
      <c r="M15" s="2"/>
      <c r="R15" s="756" t="s">
        <v>23</v>
      </c>
      <c r="S15" s="756"/>
      <c r="T15" s="897">
        <f t="shared" si="3"/>
        <v>26</v>
      </c>
      <c r="U15" s="897"/>
      <c r="V15" s="896">
        <v>1</v>
      </c>
      <c r="W15" s="896"/>
      <c r="X15" s="156">
        <f t="shared" si="4"/>
        <v>26</v>
      </c>
      <c r="Y15" s="266">
        <f t="shared" ref="Y15:Y27" si="6">ROUND(ROUND(ROUND(X15*$E$6,4)*($I$6),2)*(MAX($I$7,1)),2)</f>
        <v>144646.51</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33.5</v>
      </c>
      <c r="D17" s="414">
        <v>0</v>
      </c>
      <c r="E17" s="832">
        <f t="shared" si="0"/>
        <v>67</v>
      </c>
      <c r="F17" s="832"/>
      <c r="G17" s="833">
        <v>0.97199999999999998</v>
      </c>
      <c r="H17" s="833"/>
      <c r="I17" s="577">
        <f t="shared" si="2"/>
        <v>65.123999999999995</v>
      </c>
      <c r="J17" s="578">
        <f t="shared" si="1"/>
        <v>362306.13</v>
      </c>
      <c r="M17" s="2"/>
      <c r="R17" s="756" t="s">
        <v>25</v>
      </c>
      <c r="S17" s="756"/>
      <c r="T17" s="897">
        <f t="shared" si="3"/>
        <v>67</v>
      </c>
      <c r="U17" s="897"/>
      <c r="V17" s="896">
        <v>1</v>
      </c>
      <c r="W17" s="896"/>
      <c r="X17" s="156">
        <f t="shared" si="4"/>
        <v>67</v>
      </c>
      <c r="Y17" s="266">
        <f t="shared" si="6"/>
        <v>372742.93</v>
      </c>
    </row>
    <row r="18" spans="1:25" x14ac:dyDescent="0.25">
      <c r="A18" s="757" t="s">
        <v>26</v>
      </c>
      <c r="B18" s="757"/>
      <c r="C18" s="414">
        <v>41.5</v>
      </c>
      <c r="D18" s="414">
        <v>0</v>
      </c>
      <c r="E18" s="832">
        <f t="shared" si="0"/>
        <v>83</v>
      </c>
      <c r="F18" s="832"/>
      <c r="G18" s="833">
        <v>3.609</v>
      </c>
      <c r="H18" s="833"/>
      <c r="I18" s="577">
        <f t="shared" si="2"/>
        <v>299.54700000000003</v>
      </c>
      <c r="J18" s="578">
        <f t="shared" si="1"/>
        <v>1666478</v>
      </c>
      <c r="M18" s="2"/>
      <c r="R18" s="756" t="s">
        <v>26</v>
      </c>
      <c r="S18" s="756"/>
      <c r="T18" s="897">
        <f t="shared" si="3"/>
        <v>83</v>
      </c>
      <c r="U18" s="897"/>
      <c r="V18" s="896">
        <v>1</v>
      </c>
      <c r="W18" s="896"/>
      <c r="X18" s="156">
        <f t="shared" si="4"/>
        <v>83</v>
      </c>
      <c r="Y18" s="266">
        <f t="shared" si="6"/>
        <v>461756.17</v>
      </c>
    </row>
    <row r="19" spans="1:25" x14ac:dyDescent="0.25">
      <c r="A19" s="757" t="s">
        <v>27</v>
      </c>
      <c r="B19" s="757"/>
      <c r="C19" s="414">
        <v>32.5</v>
      </c>
      <c r="D19" s="414">
        <v>0</v>
      </c>
      <c r="E19" s="832">
        <f t="shared" si="0"/>
        <v>65</v>
      </c>
      <c r="F19" s="832"/>
      <c r="G19" s="833">
        <v>3.609</v>
      </c>
      <c r="H19" s="833"/>
      <c r="I19" s="577">
        <f t="shared" si="2"/>
        <v>234.58500000000001</v>
      </c>
      <c r="J19" s="578">
        <f t="shared" si="1"/>
        <v>1305073.1299999999</v>
      </c>
      <c r="M19" s="2"/>
      <c r="R19" s="756" t="s">
        <v>27</v>
      </c>
      <c r="S19" s="756"/>
      <c r="T19" s="897">
        <f t="shared" si="3"/>
        <v>65</v>
      </c>
      <c r="U19" s="897"/>
      <c r="V19" s="896">
        <v>1</v>
      </c>
      <c r="W19" s="896"/>
      <c r="X19" s="156">
        <f t="shared" si="4"/>
        <v>65</v>
      </c>
      <c r="Y19" s="266">
        <f t="shared" si="6"/>
        <v>361616.27</v>
      </c>
    </row>
    <row r="20" spans="1:25" x14ac:dyDescent="0.25">
      <c r="A20" s="757" t="s">
        <v>28</v>
      </c>
      <c r="B20" s="757"/>
      <c r="C20" s="414">
        <v>23.5</v>
      </c>
      <c r="D20" s="414">
        <v>0</v>
      </c>
      <c r="E20" s="832">
        <f t="shared" si="0"/>
        <v>47</v>
      </c>
      <c r="F20" s="832"/>
      <c r="G20" s="833">
        <v>3.609</v>
      </c>
      <c r="H20" s="833"/>
      <c r="I20" s="577">
        <f t="shared" si="2"/>
        <v>169.62299999999999</v>
      </c>
      <c r="J20" s="578">
        <f t="shared" si="1"/>
        <v>943668.27</v>
      </c>
      <c r="M20" s="2"/>
      <c r="R20" s="756" t="s">
        <v>28</v>
      </c>
      <c r="S20" s="756"/>
      <c r="T20" s="897">
        <f t="shared" si="3"/>
        <v>47</v>
      </c>
      <c r="U20" s="897"/>
      <c r="V20" s="896">
        <v>1</v>
      </c>
      <c r="W20" s="896"/>
      <c r="X20" s="156">
        <f t="shared" si="4"/>
        <v>47</v>
      </c>
      <c r="Y20" s="266">
        <f t="shared" si="6"/>
        <v>261476.38</v>
      </c>
    </row>
    <row r="21" spans="1:25" ht="15" customHeight="1" x14ac:dyDescent="0.25">
      <c r="A21" s="757" t="s">
        <v>29</v>
      </c>
      <c r="B21" s="757"/>
      <c r="C21" s="414">
        <v>13.5</v>
      </c>
      <c r="D21" s="414">
        <v>0</v>
      </c>
      <c r="E21" s="832">
        <f t="shared" si="0"/>
        <v>27</v>
      </c>
      <c r="F21" s="832"/>
      <c r="G21" s="833">
        <v>6.0640000000000001</v>
      </c>
      <c r="H21" s="833"/>
      <c r="I21" s="577">
        <f t="shared" si="2"/>
        <v>163.72800000000001</v>
      </c>
      <c r="J21" s="578">
        <f t="shared" si="1"/>
        <v>910872.45</v>
      </c>
      <c r="M21" s="2"/>
      <c r="R21" s="756" t="s">
        <v>29</v>
      </c>
      <c r="S21" s="756"/>
      <c r="T21" s="897">
        <f t="shared" si="3"/>
        <v>27</v>
      </c>
      <c r="U21" s="897"/>
      <c r="V21" s="896">
        <v>1</v>
      </c>
      <c r="W21" s="896"/>
      <c r="X21" s="156">
        <f t="shared" si="4"/>
        <v>27</v>
      </c>
      <c r="Y21" s="266">
        <f t="shared" si="6"/>
        <v>150209.84</v>
      </c>
    </row>
    <row r="22" spans="1:25" ht="15" customHeight="1" x14ac:dyDescent="0.25">
      <c r="A22" s="757" t="s">
        <v>30</v>
      </c>
      <c r="B22" s="757"/>
      <c r="C22" s="414">
        <v>12.5</v>
      </c>
      <c r="D22" s="414">
        <v>0</v>
      </c>
      <c r="E22" s="832">
        <f t="shared" si="0"/>
        <v>25</v>
      </c>
      <c r="F22" s="832"/>
      <c r="G22" s="833">
        <v>6.0640000000000001</v>
      </c>
      <c r="H22" s="833"/>
      <c r="I22" s="577">
        <f t="shared" si="2"/>
        <v>151.6</v>
      </c>
      <c r="J22" s="578">
        <f t="shared" si="1"/>
        <v>843400.42</v>
      </c>
      <c r="M22" s="2"/>
      <c r="R22" s="756" t="s">
        <v>30</v>
      </c>
      <c r="S22" s="756"/>
      <c r="T22" s="897">
        <f t="shared" si="3"/>
        <v>25</v>
      </c>
      <c r="U22" s="897"/>
      <c r="V22" s="896">
        <v>1</v>
      </c>
      <c r="W22" s="896"/>
      <c r="X22" s="156">
        <f t="shared" si="4"/>
        <v>25</v>
      </c>
      <c r="Y22" s="266">
        <f t="shared" si="6"/>
        <v>139083.18</v>
      </c>
    </row>
    <row r="23" spans="1:25" ht="15" customHeight="1" x14ac:dyDescent="0.25">
      <c r="A23" s="757" t="s">
        <v>31</v>
      </c>
      <c r="B23" s="757"/>
      <c r="C23" s="414">
        <v>9.5</v>
      </c>
      <c r="D23" s="414">
        <v>0</v>
      </c>
      <c r="E23" s="832">
        <f t="shared" si="0"/>
        <v>19</v>
      </c>
      <c r="F23" s="832"/>
      <c r="G23" s="833">
        <v>6.0640000000000001</v>
      </c>
      <c r="H23" s="833"/>
      <c r="I23" s="577">
        <f t="shared" si="2"/>
        <v>115.21599999999999</v>
      </c>
      <c r="J23" s="578">
        <f t="shared" si="1"/>
        <v>640984.31999999995</v>
      </c>
      <c r="M23" s="2"/>
      <c r="R23" s="756" t="s">
        <v>31</v>
      </c>
      <c r="S23" s="756"/>
      <c r="T23" s="897">
        <f t="shared" si="3"/>
        <v>19</v>
      </c>
      <c r="U23" s="897"/>
      <c r="V23" s="896">
        <v>1</v>
      </c>
      <c r="W23" s="896"/>
      <c r="X23" s="156">
        <f t="shared" si="4"/>
        <v>19</v>
      </c>
      <c r="Y23" s="266">
        <f t="shared" si="6"/>
        <v>105703.22</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712">
        <f>SUM(C12:C27)</f>
        <v>190.5</v>
      </c>
      <c r="D28" s="126">
        <f>SUM(D12:D27)</f>
        <v>0</v>
      </c>
      <c r="E28" s="837">
        <f>SUM(E12:E27)</f>
        <v>381</v>
      </c>
      <c r="F28" s="837"/>
      <c r="G28" s="838"/>
      <c r="H28" s="838"/>
      <c r="I28" s="23">
        <f>SUM(I12:I27)</f>
        <v>1249.799</v>
      </c>
      <c r="J28" s="127">
        <f>SUM(J12:J27)</f>
        <v>6953040.9000000004</v>
      </c>
      <c r="M28" s="2"/>
      <c r="R28" s="899" t="s">
        <v>36</v>
      </c>
      <c r="S28" s="899"/>
      <c r="T28" s="900">
        <f>SUM(T12:T27)</f>
        <v>381</v>
      </c>
      <c r="U28" s="900"/>
      <c r="V28" s="901"/>
      <c r="W28" s="901"/>
      <c r="X28" s="158">
        <f>SUM(X12:X27)</f>
        <v>381</v>
      </c>
      <c r="Y28" s="266">
        <f>SUM(Y12:Y27)</f>
        <v>2119627.7000000002</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1249.799</v>
      </c>
      <c r="H33" s="838" t="s">
        <v>45</v>
      </c>
      <c r="I33" s="838"/>
      <c r="J33" s="32">
        <f>SUM(J32,J28)</f>
        <v>6953040.9000000004</v>
      </c>
      <c r="M33" s="2"/>
      <c r="R33" s="854" t="s">
        <v>44</v>
      </c>
      <c r="S33" s="854"/>
      <c r="T33" s="854"/>
      <c r="U33" s="854"/>
      <c r="V33" s="164">
        <f>V32+X28</f>
        <v>381</v>
      </c>
      <c r="W33" s="901" t="s">
        <v>45</v>
      </c>
      <c r="X33" s="901"/>
      <c r="Y33" s="165">
        <f>SUM(Y32,Y28)</f>
        <v>2119627.7000000002</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6953040.9000000004</v>
      </c>
      <c r="H36" s="223" t="s">
        <v>49</v>
      </c>
      <c r="I36" s="38">
        <v>6.6699999999999995E-2</v>
      </c>
      <c r="J36" s="131">
        <f>ROUND(G36*I36,2)</f>
        <v>463767.83</v>
      </c>
      <c r="K36" s="39"/>
      <c r="L36" s="233"/>
      <c r="M36" s="233"/>
      <c r="N36" s="233"/>
      <c r="O36" s="31"/>
      <c r="P36" s="232"/>
      <c r="Q36" s="232"/>
      <c r="R36" s="756" t="s">
        <v>47</v>
      </c>
      <c r="S36" s="756"/>
      <c r="T36" s="756"/>
      <c r="U36" s="253"/>
      <c r="V36" s="172">
        <v>2119627.7000000002</v>
      </c>
      <c r="W36" s="239" t="s">
        <v>49</v>
      </c>
      <c r="X36" s="174">
        <v>6.6699999999999995E-2</v>
      </c>
      <c r="Y36" s="266">
        <f>ROUND(V36*X36,2)</f>
        <v>141379.17000000001</v>
      </c>
    </row>
    <row r="37" spans="1:25" ht="20.25" customHeight="1" x14ac:dyDescent="0.25">
      <c r="A37" s="757" t="s">
        <v>50</v>
      </c>
      <c r="B37" s="757"/>
      <c r="C37" s="757"/>
      <c r="D37" s="757"/>
      <c r="E37" s="757"/>
      <c r="F37" s="248" t="s">
        <v>48</v>
      </c>
      <c r="G37" s="132">
        <v>6953040.9000000004</v>
      </c>
      <c r="H37" s="223" t="s">
        <v>49</v>
      </c>
      <c r="I37" s="38">
        <v>5.4000000000000003E-3</v>
      </c>
      <c r="J37" s="131">
        <f>ROUND(G37*I37,2)</f>
        <v>37546.42</v>
      </c>
      <c r="K37" s="39"/>
      <c r="L37" s="233"/>
      <c r="M37" s="233"/>
      <c r="N37" s="233"/>
      <c r="O37" s="31"/>
      <c r="P37" s="232"/>
      <c r="Q37" s="232"/>
      <c r="R37" s="756" t="s">
        <v>50</v>
      </c>
      <c r="S37" s="756"/>
      <c r="T37" s="756"/>
      <c r="U37" s="253"/>
      <c r="V37" s="172">
        <v>2119627.7000000002</v>
      </c>
      <c r="W37" s="239" t="s">
        <v>49</v>
      </c>
      <c r="X37" s="174">
        <v>5.4000000000000003E-3</v>
      </c>
      <c r="Y37" s="266">
        <f>ROUND(V37*X37,2)</f>
        <v>11445.99</v>
      </c>
    </row>
    <row r="38" spans="1:25" ht="20.25" customHeight="1" x14ac:dyDescent="0.25">
      <c r="A38" s="841" t="s">
        <v>51</v>
      </c>
      <c r="B38" s="841"/>
      <c r="C38" s="841"/>
      <c r="D38" s="841"/>
      <c r="E38" s="841"/>
      <c r="F38" s="248" t="s">
        <v>52</v>
      </c>
      <c r="G38" s="40"/>
      <c r="H38" s="223"/>
      <c r="I38" s="41"/>
      <c r="J38" s="131">
        <f>SUM(J36:J37)</f>
        <v>501314.25</v>
      </c>
      <c r="K38" s="39"/>
      <c r="L38" s="233"/>
      <c r="M38" s="233"/>
      <c r="N38" s="233"/>
      <c r="O38" s="31"/>
      <c r="P38" s="232"/>
      <c r="Q38" s="232"/>
      <c r="R38" s="758" t="s">
        <v>51</v>
      </c>
      <c r="S38" s="758"/>
      <c r="T38" s="758"/>
      <c r="U38" s="253" t="s">
        <v>52</v>
      </c>
      <c r="V38" s="175"/>
      <c r="W38" s="239"/>
      <c r="X38" s="176"/>
      <c r="Y38" s="266">
        <f>Y36+Y37</f>
        <v>152825.16</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0.5</v>
      </c>
      <c r="D41" s="414">
        <v>0</v>
      </c>
      <c r="E41" s="847">
        <f t="shared" ref="E41:E49" si="7">IF($D$50=0,C41*2,C41+D41)</f>
        <v>1</v>
      </c>
      <c r="F41" s="847"/>
      <c r="G41" s="223" t="s">
        <v>59</v>
      </c>
      <c r="H41" s="223">
        <v>251</v>
      </c>
      <c r="I41" s="136">
        <f>INDEX('[1]111-112-113 ADDITIONAL FUND'!D$1:D$65536,MATCH($A$1,'[1]111-112-113 ADDITIONAL FUND'!A$1:A$65536))</f>
        <v>1047</v>
      </c>
      <c r="J41" s="137">
        <f t="shared" ref="J41:J49" si="8">ROUND(E41*I41,2)</f>
        <v>1047</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0.5</v>
      </c>
      <c r="D42" s="414">
        <v>0</v>
      </c>
      <c r="E42" s="847">
        <f t="shared" si="7"/>
        <v>1</v>
      </c>
      <c r="F42" s="847"/>
      <c r="G42" s="223" t="s">
        <v>59</v>
      </c>
      <c r="H42" s="223">
        <v>252</v>
      </c>
      <c r="I42" s="136">
        <f>INDEX('[1]111-112-113 ADDITIONAL FUND'!E$1:E$65536,MATCH($A$1,'[1]111-112-113 ADDITIONAL FUND'!A$1:A$65536))</f>
        <v>3380</v>
      </c>
      <c r="J42" s="137">
        <f t="shared" si="8"/>
        <v>3380</v>
      </c>
      <c r="M42" s="2"/>
      <c r="R42" s="906"/>
      <c r="S42" s="906"/>
      <c r="T42" s="907"/>
      <c r="U42" s="907"/>
      <c r="V42" s="239" t="s">
        <v>59</v>
      </c>
      <c r="W42" s="239">
        <v>252</v>
      </c>
      <c r="X42" s="134">
        <f t="shared" si="9"/>
        <v>3380</v>
      </c>
      <c r="Y42" s="269">
        <f t="shared" ref="Y42:Y49" si="10">ROUND(T42*X42,2)</f>
        <v>0</v>
      </c>
    </row>
    <row r="43" spans="1:25" x14ac:dyDescent="0.25">
      <c r="A43" s="846"/>
      <c r="B43" s="846"/>
      <c r="C43" s="414">
        <v>9.5</v>
      </c>
      <c r="D43" s="414">
        <v>0</v>
      </c>
      <c r="E43" s="847">
        <f t="shared" si="7"/>
        <v>19</v>
      </c>
      <c r="F43" s="847"/>
      <c r="G43" s="223" t="s">
        <v>59</v>
      </c>
      <c r="H43" s="223">
        <v>253</v>
      </c>
      <c r="I43" s="136">
        <f>INDEX('[1]111-112-113 ADDITIONAL FUND'!F$1:F$65536,MATCH($A$1,'[1]111-112-113 ADDITIONAL FUND'!A$1:A$65536))</f>
        <v>6896</v>
      </c>
      <c r="J43" s="137">
        <f t="shared" si="8"/>
        <v>131024</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1</v>
      </c>
      <c r="D45" s="414">
        <v>0</v>
      </c>
      <c r="E45" s="847">
        <f t="shared" si="7"/>
        <v>2</v>
      </c>
      <c r="F45" s="847"/>
      <c r="G45" s="47" t="s">
        <v>60</v>
      </c>
      <c r="H45" s="223">
        <v>252</v>
      </c>
      <c r="I45" s="136">
        <f>INDEX('[1]111-112-113 ADDITIONAL FUND'!H$1:H$65536,MATCH($A$1,'[1]111-112-113 ADDITIONAL FUND'!A$1:A$65536))</f>
        <v>3506</v>
      </c>
      <c r="J45" s="137">
        <f t="shared" si="8"/>
        <v>7012</v>
      </c>
      <c r="M45" s="2"/>
      <c r="R45" s="906"/>
      <c r="S45" s="906"/>
      <c r="T45" s="888"/>
      <c r="U45" s="888"/>
      <c r="V45" s="182" t="s">
        <v>60</v>
      </c>
      <c r="W45" s="239">
        <v>252</v>
      </c>
      <c r="X45" s="134">
        <f t="shared" si="9"/>
        <v>3506</v>
      </c>
      <c r="Y45" s="269">
        <f t="shared" si="10"/>
        <v>0</v>
      </c>
    </row>
    <row r="46" spans="1:25" x14ac:dyDescent="0.25">
      <c r="A46" s="846"/>
      <c r="B46" s="846"/>
      <c r="C46" s="414">
        <v>12</v>
      </c>
      <c r="D46" s="414">
        <v>0</v>
      </c>
      <c r="E46" s="847">
        <f t="shared" si="7"/>
        <v>24</v>
      </c>
      <c r="F46" s="847"/>
      <c r="G46" s="47" t="s">
        <v>60</v>
      </c>
      <c r="H46" s="223">
        <v>253</v>
      </c>
      <c r="I46" s="136">
        <f>INDEX('[1]111-112-113 ADDITIONAL FUND'!I$1:I$65536,MATCH($A$1,'[1]111-112-113 ADDITIONAL FUND'!A$1:A$65536))</f>
        <v>7023</v>
      </c>
      <c r="J46" s="137">
        <f t="shared" si="8"/>
        <v>168552</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137">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2</v>
      </c>
      <c r="D48" s="414">
        <v>0</v>
      </c>
      <c r="E48" s="847">
        <f t="shared" si="7"/>
        <v>4</v>
      </c>
      <c r="F48" s="847"/>
      <c r="G48" s="47" t="s">
        <v>61</v>
      </c>
      <c r="H48" s="223">
        <v>252</v>
      </c>
      <c r="I48" s="136">
        <f>INDEX('[1]111-112-113 ADDITIONAL FUND'!K$1:K$65536,MATCH($A$1,'[1]111-112-113 ADDITIONAL FUND'!A$1:A$65536))</f>
        <v>3168</v>
      </c>
      <c r="J48" s="137">
        <f t="shared" si="8"/>
        <v>12672</v>
      </c>
      <c r="M48" s="2"/>
      <c r="R48" s="906"/>
      <c r="S48" s="906"/>
      <c r="T48" s="888"/>
      <c r="U48" s="888"/>
      <c r="V48" s="182" t="s">
        <v>61</v>
      </c>
      <c r="W48" s="239">
        <v>252</v>
      </c>
      <c r="X48" s="134">
        <f t="shared" si="9"/>
        <v>3168</v>
      </c>
      <c r="Y48" s="269">
        <f t="shared" si="10"/>
        <v>0</v>
      </c>
    </row>
    <row r="49" spans="1:25" ht="15.75" customHeight="1" thickBot="1" x14ac:dyDescent="0.3">
      <c r="A49" s="846"/>
      <c r="B49" s="846"/>
      <c r="C49" s="414">
        <v>31.5</v>
      </c>
      <c r="D49" s="414">
        <v>0</v>
      </c>
      <c r="E49" s="852">
        <f t="shared" si="7"/>
        <v>63</v>
      </c>
      <c r="F49" s="852"/>
      <c r="G49" s="47" t="s">
        <v>61</v>
      </c>
      <c r="H49" s="223">
        <v>253</v>
      </c>
      <c r="I49" s="136">
        <f>INDEX('[1]111-112-113 ADDITIONAL FUND'!L$1:L$65536,MATCH($A$1,'[1]111-112-113 ADDITIONAL FUND'!A$1:A$65536))</f>
        <v>6685</v>
      </c>
      <c r="J49" s="137">
        <f t="shared" si="8"/>
        <v>421155</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57</v>
      </c>
      <c r="D50" s="584">
        <f>SUM(D41:D49)</f>
        <v>0</v>
      </c>
      <c r="E50" s="853">
        <f>SUM(E41:E49)</f>
        <v>114</v>
      </c>
      <c r="F50" s="853"/>
      <c r="G50" s="839" t="s">
        <v>63</v>
      </c>
      <c r="H50" s="839"/>
      <c r="I50" s="839"/>
      <c r="J50" s="276">
        <f>SUM(J41:J49)</f>
        <v>744842</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381</v>
      </c>
      <c r="U52" s="184" t="s">
        <v>66</v>
      </c>
      <c r="V52" s="185"/>
      <c r="W52" s="186" t="s">
        <v>67</v>
      </c>
      <c r="X52" s="884">
        <f>I53</f>
        <v>215320.92</v>
      </c>
      <c r="Y52" s="884"/>
    </row>
    <row r="53" spans="1:25" ht="16.5" customHeight="1" x14ac:dyDescent="0.25">
      <c r="A53" s="848" t="s">
        <v>65</v>
      </c>
      <c r="B53" s="848"/>
      <c r="C53" s="237"/>
      <c r="D53" s="237"/>
      <c r="E53" s="48">
        <f>E28</f>
        <v>381</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1.769E-3</v>
      </c>
      <c r="Y53" s="885"/>
    </row>
    <row r="54" spans="1:25" ht="22.5" customHeight="1" x14ac:dyDescent="0.25">
      <c r="A54" s="237"/>
      <c r="B54" s="230"/>
      <c r="C54" s="230"/>
      <c r="D54" s="230"/>
      <c r="H54" s="53" t="s">
        <v>68</v>
      </c>
      <c r="I54" s="849">
        <f>IFERROR(ROUND(E53/I53,6),0)</f>
        <v>1.769E-3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381</v>
      </c>
      <c r="U55" s="184" t="s">
        <v>66</v>
      </c>
      <c r="V55" s="185"/>
      <c r="W55" s="186" t="s">
        <v>71</v>
      </c>
      <c r="X55" s="884">
        <f>I56</f>
        <v>229051.25000000003</v>
      </c>
      <c r="Y55" s="884"/>
    </row>
    <row r="56" spans="1:25" ht="16.5" customHeight="1" x14ac:dyDescent="0.25">
      <c r="A56" s="848" t="s">
        <v>70</v>
      </c>
      <c r="B56" s="848"/>
      <c r="C56" s="237"/>
      <c r="D56" s="237"/>
      <c r="E56" s="48">
        <f>G33</f>
        <v>1249.799</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1.663E-3</v>
      </c>
      <c r="Y56" s="885"/>
    </row>
    <row r="57" spans="1:25" ht="18.75" customHeight="1" x14ac:dyDescent="0.25">
      <c r="A57" s="237"/>
      <c r="H57" s="53" t="s">
        <v>68</v>
      </c>
      <c r="I57" s="849">
        <f>IFERROR(ROUND(E56/I56,6),0)</f>
        <v>5.4559999999999999E-3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381</v>
      </c>
      <c r="U58" s="184" t="s">
        <v>66</v>
      </c>
      <c r="V58" s="883" t="s">
        <v>74</v>
      </c>
      <c r="W58" s="883"/>
      <c r="X58" s="884">
        <f>I59</f>
        <v>186156.17</v>
      </c>
      <c r="Y58" s="884"/>
    </row>
    <row r="59" spans="1:25" ht="18.75" customHeight="1" x14ac:dyDescent="0.25">
      <c r="A59" s="848" t="s">
        <v>73</v>
      </c>
      <c r="B59" s="848"/>
      <c r="C59" s="237"/>
      <c r="D59" s="237"/>
      <c r="E59" s="48">
        <f>E28</f>
        <v>381</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2.0470000000000002E-3</v>
      </c>
      <c r="Y59" s="885"/>
    </row>
    <row r="60" spans="1:25" ht="18" customHeight="1" x14ac:dyDescent="0.25">
      <c r="A60" s="237"/>
      <c r="H60" s="53" t="s">
        <v>68</v>
      </c>
      <c r="I60" s="849">
        <f>IFERROR(ROUND(E59/I59,6),0)</f>
        <v>2.0470000000000002E-3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381</v>
      </c>
      <c r="U61" s="184" t="s">
        <v>66</v>
      </c>
      <c r="V61" s="883" t="s">
        <v>76</v>
      </c>
      <c r="W61" s="883"/>
      <c r="X61" s="884">
        <f>I62</f>
        <v>215016.58000000002</v>
      </c>
      <c r="Y61" s="884"/>
    </row>
    <row r="62" spans="1:25" ht="30.75" customHeight="1" x14ac:dyDescent="0.25">
      <c r="A62" s="848" t="s">
        <v>73</v>
      </c>
      <c r="B62" s="848"/>
      <c r="C62" s="237"/>
      <c r="D62" s="237"/>
      <c r="E62" s="48">
        <f>E28</f>
        <v>381</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1.7719999999999999E-3</v>
      </c>
      <c r="Y62" s="885"/>
    </row>
    <row r="63" spans="1:25" ht="19.5" customHeight="1" x14ac:dyDescent="0.25">
      <c r="A63" s="237"/>
      <c r="H63" s="53" t="s">
        <v>68</v>
      </c>
      <c r="I63" s="849">
        <f>IFERROR(ROUND(E62/I62,6),0)</f>
        <v>1.7719999999999999E-3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381</v>
      </c>
      <c r="U64" s="184" t="s">
        <v>66</v>
      </c>
      <c r="V64" s="883" t="s">
        <v>165</v>
      </c>
      <c r="W64" s="883"/>
      <c r="X64" s="884">
        <f>I65</f>
        <v>185851.83000000002</v>
      </c>
      <c r="Y64" s="884"/>
    </row>
    <row r="65" spans="1:26" ht="49.5" customHeight="1" x14ac:dyDescent="0.25">
      <c r="A65" s="848" t="s">
        <v>73</v>
      </c>
      <c r="B65" s="848"/>
      <c r="C65" s="237"/>
      <c r="D65" s="237"/>
      <c r="E65" s="48">
        <f>E28</f>
        <v>381</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2.0500000000000002E-3</v>
      </c>
      <c r="Y65" s="885"/>
    </row>
    <row r="66" spans="1:26" ht="19.5" customHeight="1" x14ac:dyDescent="0.25">
      <c r="A66" s="237"/>
      <c r="H66" s="53" t="s">
        <v>68</v>
      </c>
      <c r="I66" s="849">
        <f>IFERROR(ROUND(E65/I65,6),0)</f>
        <v>2.0500000000000002E-3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1.7719999999999999E-3</v>
      </c>
      <c r="Y67" s="271">
        <f>ROUND(V67*X67,2)</f>
        <v>83799.199999999997</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1.7719999999999999E-3</v>
      </c>
      <c r="J68" s="138">
        <f>ROUND(G68*I68,2)</f>
        <v>83799.199999999997</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1.769E-3</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1.769E-3</v>
      </c>
      <c r="J70" s="138">
        <f>ROUND(G70*I70,2)</f>
        <v>0</v>
      </c>
      <c r="M70" s="2"/>
      <c r="R70" s="758" t="s">
        <v>167</v>
      </c>
      <c r="S70" s="758"/>
      <c r="T70" s="758"/>
      <c r="U70" s="253"/>
      <c r="V70" s="193">
        <f>G71</f>
        <v>19167881</v>
      </c>
      <c r="W70" s="239" t="s">
        <v>81</v>
      </c>
      <c r="X70" s="176">
        <f>X65</f>
        <v>2.0500000000000002E-3</v>
      </c>
      <c r="Y70" s="266">
        <f t="shared" si="11"/>
        <v>39294.160000000003</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2.0500000000000002E-3</v>
      </c>
      <c r="J71" s="138">
        <f>ROUND(G71*I71,2)</f>
        <v>39294.160000000003</v>
      </c>
      <c r="M71" s="2"/>
      <c r="R71" s="240" t="s">
        <v>168</v>
      </c>
      <c r="S71" s="240"/>
      <c r="T71" s="240"/>
      <c r="U71" s="253"/>
      <c r="V71" s="171">
        <f>G72</f>
        <v>11546889</v>
      </c>
      <c r="W71" s="239" t="s">
        <v>81</v>
      </c>
      <c r="X71" s="176">
        <f>X59</f>
        <v>2.0470000000000002E-3</v>
      </c>
      <c r="Y71" s="266">
        <f t="shared" si="11"/>
        <v>23636.48</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2.0470000000000002E-3</v>
      </c>
      <c r="J72" s="138">
        <f>ROUND(G72*I72,2)</f>
        <v>23636.48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817" t="s">
        <v>101</v>
      </c>
      <c r="B84" s="817"/>
      <c r="C84" s="817"/>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5.4559999999999999E-3</v>
      </c>
      <c r="J85" s="138">
        <f>ROUND(G85*I85,2)</f>
        <v>1466661.61</v>
      </c>
      <c r="K85" s="70"/>
      <c r="L85" s="70"/>
      <c r="M85" s="71"/>
      <c r="N85" s="70"/>
      <c r="O85" s="70"/>
      <c r="P85" s="70"/>
      <c r="Q85" s="70"/>
      <c r="R85" s="758" t="s">
        <v>172</v>
      </c>
      <c r="S85" s="758"/>
      <c r="T85" s="758"/>
      <c r="U85" s="253"/>
      <c r="V85" s="171">
        <f>G85</f>
        <v>268816278</v>
      </c>
      <c r="W85" s="239" t="s">
        <v>81</v>
      </c>
      <c r="X85" s="176">
        <f>X56</f>
        <v>1.663E-3</v>
      </c>
      <c r="Y85" s="266">
        <f t="shared" ref="Y85:Y87" si="12">ROUND(V85*X85,2)</f>
        <v>447041.47</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5.4559999999999999E-3</v>
      </c>
      <c r="J86" s="138">
        <f>ROUND(G86*I86,2)</f>
        <v>0</v>
      </c>
      <c r="K86" s="70"/>
      <c r="L86" s="71"/>
      <c r="M86" s="76"/>
      <c r="N86" s="76"/>
      <c r="O86" s="76"/>
      <c r="P86" s="76"/>
      <c r="Q86" s="70"/>
      <c r="R86" s="758" t="s">
        <v>173</v>
      </c>
      <c r="S86" s="758"/>
      <c r="T86" s="758"/>
      <c r="U86" s="253"/>
      <c r="V86" s="203">
        <f>G86</f>
        <v>0</v>
      </c>
      <c r="W86" s="239" t="s">
        <v>81</v>
      </c>
      <c r="X86" s="176">
        <f>X56</f>
        <v>1.663E-3</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1.769E-3</v>
      </c>
      <c r="J87" s="62">
        <f>ROUND(G87*I87,2)</f>
        <v>0</v>
      </c>
      <c r="K87" s="77"/>
      <c r="L87" s="70"/>
      <c r="M87" s="71"/>
      <c r="N87" s="70"/>
      <c r="O87" s="70"/>
      <c r="P87" s="70"/>
      <c r="Q87" s="70"/>
      <c r="R87" s="240" t="s">
        <v>174</v>
      </c>
      <c r="S87" s="240"/>
      <c r="T87" s="240"/>
      <c r="U87" s="253"/>
      <c r="V87" s="203">
        <f>G87</f>
        <v>0</v>
      </c>
      <c r="W87" s="239" t="s">
        <v>81</v>
      </c>
      <c r="X87" s="176">
        <f>X53</f>
        <v>1.769E-3</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487.65100000000001</v>
      </c>
      <c r="C90" s="245"/>
      <c r="D90" s="915">
        <f>I6</f>
        <v>1.0355000000000001</v>
      </c>
      <c r="E90" s="915"/>
      <c r="F90" s="915"/>
      <c r="G90" s="122">
        <f>'[1]Detail 2025-26 FEFP Second'!AB3</f>
        <v>958.42</v>
      </c>
      <c r="H90" s="47" t="s">
        <v>68</v>
      </c>
      <c r="I90" s="141">
        <f>ROUND(B90*D90*G90,2)</f>
        <v>483966.27</v>
      </c>
      <c r="J90" s="81"/>
      <c r="K90" s="70"/>
      <c r="L90" s="70"/>
      <c r="M90" s="71"/>
      <c r="N90" s="70"/>
      <c r="O90" s="70"/>
      <c r="P90" s="70"/>
      <c r="Q90" s="70"/>
      <c r="R90" s="238" t="s">
        <v>110</v>
      </c>
      <c r="S90" s="251">
        <f>X12+X13+X18+X21+X24</f>
        <v>132</v>
      </c>
      <c r="T90" s="870">
        <f>X6</f>
        <v>1.0355000000000001</v>
      </c>
      <c r="U90" s="870"/>
      <c r="V90" s="122">
        <f>G90</f>
        <v>958.42</v>
      </c>
      <c r="W90" s="182" t="s">
        <v>68</v>
      </c>
      <c r="X90" s="272">
        <f>ROUND(S90*T90*V90,2)</f>
        <v>131002.6</v>
      </c>
      <c r="Y90" s="205"/>
    </row>
    <row r="91" spans="1:26" ht="21" customHeight="1" x14ac:dyDescent="0.25">
      <c r="A91" s="82" t="s">
        <v>60</v>
      </c>
      <c r="B91" s="245">
        <f>I14+I15+I19+I22+I25</f>
        <v>412.18500000000006</v>
      </c>
      <c r="C91" s="245"/>
      <c r="D91" s="915">
        <f>I6</f>
        <v>1.0355000000000001</v>
      </c>
      <c r="E91" s="915"/>
      <c r="F91" s="915"/>
      <c r="G91" s="122">
        <f>'[1]Detail 2025-26 FEFP Second'!AC3</f>
        <v>915.09</v>
      </c>
      <c r="H91" s="47" t="s">
        <v>68</v>
      </c>
      <c r="I91" s="140">
        <f>ROUND(B91*D91*G91,2)</f>
        <v>390576.49</v>
      </c>
      <c r="K91" s="70"/>
      <c r="L91" s="70"/>
      <c r="M91" s="71"/>
      <c r="N91" s="70"/>
      <c r="O91" s="70"/>
      <c r="P91" s="70"/>
      <c r="Q91" s="70"/>
      <c r="R91" s="206" t="s">
        <v>60</v>
      </c>
      <c r="S91" s="251">
        <f>X14+X15+X19+X22+X25</f>
        <v>116</v>
      </c>
      <c r="T91" s="870">
        <f>X6</f>
        <v>1.0355000000000001</v>
      </c>
      <c r="U91" s="870"/>
      <c r="V91" s="122">
        <f>G91</f>
        <v>915.09</v>
      </c>
      <c r="W91" s="182" t="s">
        <v>68</v>
      </c>
      <c r="X91" s="272">
        <f>ROUND(S91*T91*V91,2)</f>
        <v>109918.78</v>
      </c>
      <c r="Y91" s="170"/>
    </row>
    <row r="92" spans="1:26" ht="19.5" customHeight="1" thickBot="1" x14ac:dyDescent="0.3">
      <c r="A92" s="83" t="s">
        <v>61</v>
      </c>
      <c r="B92" s="109">
        <f>I16+I17+I20+I23+I26+I27</f>
        <v>349.96299999999997</v>
      </c>
      <c r="C92" s="109"/>
      <c r="D92" s="915">
        <f>I6</f>
        <v>1.0355000000000001</v>
      </c>
      <c r="E92" s="915"/>
      <c r="F92" s="915"/>
      <c r="G92" s="122">
        <f>'[1]Detail 2025-26 FEFP Second'!AD3</f>
        <v>917.3</v>
      </c>
      <c r="H92" s="47" t="s">
        <v>68</v>
      </c>
      <c r="I92" s="574">
        <f>ROUND(B92*D92*G92,2)</f>
        <v>332417.31</v>
      </c>
      <c r="K92" s="70"/>
      <c r="L92" s="70"/>
      <c r="M92" s="71"/>
      <c r="N92" s="70"/>
      <c r="O92" s="70"/>
      <c r="P92" s="70"/>
      <c r="Q92" s="70"/>
      <c r="R92" s="207" t="s">
        <v>61</v>
      </c>
      <c r="S92" s="208">
        <f>X16+X17+X20+X23+X26+X27</f>
        <v>133</v>
      </c>
      <c r="T92" s="870">
        <f>X6</f>
        <v>1.0355000000000001</v>
      </c>
      <c r="U92" s="870"/>
      <c r="V92" s="122">
        <f>G92</f>
        <v>917.3</v>
      </c>
      <c r="W92" s="182" t="s">
        <v>68</v>
      </c>
      <c r="X92" s="272">
        <f>ROUND(S92*T92*V92,2)</f>
        <v>126331.93</v>
      </c>
      <c r="Y92" s="170"/>
    </row>
    <row r="93" spans="1:26" ht="18.75" customHeight="1" thickBot="1" x14ac:dyDescent="0.3">
      <c r="A93" s="247" t="s">
        <v>111</v>
      </c>
      <c r="B93" s="109">
        <f>SUM(B90:B92)</f>
        <v>1249.799</v>
      </c>
      <c r="C93" s="109"/>
      <c r="D93" s="109"/>
      <c r="E93" s="867" t="s">
        <v>112</v>
      </c>
      <c r="F93" s="867"/>
      <c r="G93" s="867"/>
      <c r="H93" s="867"/>
      <c r="I93" s="867"/>
      <c r="J93" s="127">
        <f>IF(A1=75,0,I92+I91+I90)</f>
        <v>1206960.07</v>
      </c>
      <c r="K93" s="70"/>
      <c r="L93" s="70"/>
      <c r="M93" s="71"/>
      <c r="N93" s="70"/>
      <c r="O93" s="70"/>
      <c r="P93" s="70"/>
      <c r="Q93" s="70"/>
      <c r="R93" s="252" t="s">
        <v>111</v>
      </c>
      <c r="S93" s="210">
        <f>SUM(S90:S92)</f>
        <v>381</v>
      </c>
      <c r="T93" s="874" t="s">
        <v>112</v>
      </c>
      <c r="U93" s="875"/>
      <c r="V93" s="875"/>
      <c r="W93" s="875"/>
      <c r="X93" s="875"/>
      <c r="Y93" s="266">
        <f>IF(R1=75,0,X92+X91+X90)</f>
        <v>367253.31</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0.5</v>
      </c>
      <c r="U96" s="872"/>
      <c r="V96" s="872"/>
      <c r="W96" s="261" t="s">
        <v>117</v>
      </c>
      <c r="X96" s="212">
        <f>I97</f>
        <v>617</v>
      </c>
      <c r="Y96" s="266">
        <f>ROUND(X96*T96,2)</f>
        <v>308.5</v>
      </c>
    </row>
    <row r="97" spans="1:25" ht="17.25" customHeight="1" x14ac:dyDescent="0.25">
      <c r="A97" s="839" t="s">
        <v>116</v>
      </c>
      <c r="B97" s="839"/>
      <c r="C97" s="279">
        <v>1</v>
      </c>
      <c r="D97" s="279">
        <v>0</v>
      </c>
      <c r="E97" s="942">
        <f>(C97+D97)/2</f>
        <v>0.5</v>
      </c>
      <c r="F97" s="871"/>
      <c r="G97" s="871"/>
      <c r="H97" s="224" t="s">
        <v>117</v>
      </c>
      <c r="I97" s="130">
        <f>IF(A1&gt;67,0,INDEX('[1]Transportation Per Student'!F$1:F$65536,MATCH(A1,'[1]Transportation Per Student'!B$1:B$65536)))</f>
        <v>617</v>
      </c>
      <c r="J97" s="138">
        <f>ROUND(I97*E97,2)</f>
        <v>308.5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1</v>
      </c>
      <c r="D98" s="279">
        <v>0</v>
      </c>
      <c r="E98" s="942">
        <f>(C98+D98)/2</f>
        <v>0.5</v>
      </c>
      <c r="F98" s="871"/>
      <c r="G98" s="871"/>
      <c r="H98" s="224" t="s">
        <v>117</v>
      </c>
      <c r="I98" s="130">
        <f>IF(A1&gt;67,0,INDEX('[1]Transportation Per Student'!J$1:J$65536,MATCH(A1,'[1]Transportation Per Student'!B$1:B$65536)))</f>
        <v>1870</v>
      </c>
      <c r="J98" s="138">
        <f>ROUND(I98*E98,2)</f>
        <v>935</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10519477.920000002</v>
      </c>
      <c r="L107" s="575"/>
      <c r="R107" s="758" t="s">
        <v>125</v>
      </c>
      <c r="S107" s="758"/>
      <c r="T107" s="758"/>
      <c r="U107" s="758"/>
      <c r="V107" s="758"/>
      <c r="W107" s="758"/>
      <c r="X107" s="758"/>
      <c r="Y107" s="730">
        <f>SUM(Y106,Y105,Y97,Y96,Y93,Y86,Y85,Y84,Y70,Y69,Y67,Y33,Y71,Y50,Y87,Y83)</f>
        <v>3080960.8200000003</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10018163.670000002</v>
      </c>
      <c r="R109" s="170" t="s">
        <v>180</v>
      </c>
      <c r="S109" s="170"/>
      <c r="T109" s="170"/>
      <c r="U109" s="170"/>
      <c r="V109" s="170"/>
      <c r="W109" s="170"/>
      <c r="X109" s="170"/>
      <c r="Y109" s="731">
        <f>Y107-Y38</f>
        <v>2928135.66</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3">
        <v>1</v>
      </c>
      <c r="J111" s="137">
        <f>Y109</f>
        <v>2928135.66</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601"/>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716"/>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7">
        <f>IF(I111=1,J111,J109)</f>
        <v>2928135.66</v>
      </c>
      <c r="J114" s="718">
        <f>ROUND(IF(E28=0,0,IF(E28&gt;250,-(((250/E28)*I114)*IF(H113="H",0.02,0.05)),IF(H113="H",-0.02*I114,-0.05*I114))),2)</f>
        <v>-96067.44</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10423410.480000002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Payments'!R79</f>
        <v>-1728369.3599999999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8695041.1200000029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869504.11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ROUND(IF(H113="H",(I114*0.02)+J114,(I114*0.05)+J114),2)</f>
        <v>50339.34</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F6DC-1D29-487E-ADA6-EBA8BC888E02}">
  <dimension ref="A1:Z207"/>
  <sheetViews>
    <sheetView topLeftCell="A100" workbookViewId="0">
      <selection activeCell="Y109" sqref="Y10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446</v>
      </c>
      <c r="B2" s="102"/>
      <c r="C2" s="102"/>
      <c r="D2" s="102"/>
      <c r="E2" s="100"/>
      <c r="F2" s="100"/>
      <c r="G2" s="100"/>
      <c r="H2" s="100"/>
      <c r="I2" s="100"/>
      <c r="J2" s="100"/>
      <c r="K2" s="6"/>
      <c r="L2" s="6"/>
      <c r="M2" s="6"/>
      <c r="N2" s="6"/>
      <c r="O2" s="6"/>
      <c r="P2" s="6"/>
      <c r="Q2" s="6"/>
      <c r="R2" s="920" t="str">
        <f>Revenue_Estimate_Worksheet_for___________Charter_School</f>
        <v>Revenue Estimate Worksheet: The Learning Academy at The Els Center of Excellence - 3083</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Second'!$C$1:$C$65536,MATCH('3083'!$A$1,'[1]Detail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Second'!$D$1:$D$65536,MATCH('3083'!$A$1,'[1]Detail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4.5</v>
      </c>
      <c r="D17" s="414">
        <v>0</v>
      </c>
      <c r="E17" s="832">
        <f t="shared" si="0"/>
        <v>9</v>
      </c>
      <c r="F17" s="832"/>
      <c r="G17" s="833">
        <v>0.97199999999999998</v>
      </c>
      <c r="H17" s="833"/>
      <c r="I17" s="577">
        <f t="shared" si="2"/>
        <v>8.7479999999999993</v>
      </c>
      <c r="J17" s="578">
        <f t="shared" si="1"/>
        <v>48667.99</v>
      </c>
      <c r="M17" s="2"/>
      <c r="R17" s="756" t="s">
        <v>25</v>
      </c>
      <c r="S17" s="756"/>
      <c r="T17" s="897">
        <f t="shared" si="3"/>
        <v>9</v>
      </c>
      <c r="U17" s="897"/>
      <c r="V17" s="896">
        <v>1</v>
      </c>
      <c r="W17" s="896"/>
      <c r="X17" s="156">
        <f t="shared" si="4"/>
        <v>9</v>
      </c>
      <c r="Y17" s="266">
        <f t="shared" si="6"/>
        <v>50069.95</v>
      </c>
    </row>
    <row r="18" spans="1:25" x14ac:dyDescent="0.25">
      <c r="A18" s="757" t="s">
        <v>26</v>
      </c>
      <c r="B18" s="757"/>
      <c r="C18" s="414">
        <v>3</v>
      </c>
      <c r="D18" s="414">
        <v>0</v>
      </c>
      <c r="E18" s="832">
        <f t="shared" si="0"/>
        <v>6</v>
      </c>
      <c r="F18" s="832"/>
      <c r="G18" s="833">
        <v>3.609</v>
      </c>
      <c r="H18" s="833"/>
      <c r="I18" s="577">
        <f t="shared" si="2"/>
        <v>21.654</v>
      </c>
      <c r="J18" s="578">
        <f t="shared" si="1"/>
        <v>120468.29</v>
      </c>
      <c r="M18" s="2"/>
      <c r="R18" s="756" t="s">
        <v>26</v>
      </c>
      <c r="S18" s="756"/>
      <c r="T18" s="897">
        <f t="shared" si="3"/>
        <v>6</v>
      </c>
      <c r="U18" s="897"/>
      <c r="V18" s="896">
        <v>1</v>
      </c>
      <c r="W18" s="896"/>
      <c r="X18" s="156">
        <f t="shared" si="4"/>
        <v>6</v>
      </c>
      <c r="Y18" s="266">
        <f t="shared" si="6"/>
        <v>33379.96</v>
      </c>
    </row>
    <row r="19" spans="1:25" x14ac:dyDescent="0.25">
      <c r="A19" s="757" t="s">
        <v>27</v>
      </c>
      <c r="B19" s="757"/>
      <c r="C19" s="414">
        <v>8.5</v>
      </c>
      <c r="D19" s="414">
        <v>0</v>
      </c>
      <c r="E19" s="832">
        <f t="shared" si="0"/>
        <v>17</v>
      </c>
      <c r="F19" s="832"/>
      <c r="G19" s="833">
        <v>3.609</v>
      </c>
      <c r="H19" s="833"/>
      <c r="I19" s="577">
        <f t="shared" si="2"/>
        <v>61.353000000000002</v>
      </c>
      <c r="J19" s="578">
        <f t="shared" si="1"/>
        <v>341326.82</v>
      </c>
      <c r="M19" s="2"/>
      <c r="R19" s="756" t="s">
        <v>27</v>
      </c>
      <c r="S19" s="756"/>
      <c r="T19" s="897">
        <f t="shared" si="3"/>
        <v>17</v>
      </c>
      <c r="U19" s="897"/>
      <c r="V19" s="896">
        <v>1</v>
      </c>
      <c r="W19" s="896"/>
      <c r="X19" s="156">
        <f t="shared" si="4"/>
        <v>17</v>
      </c>
      <c r="Y19" s="266">
        <f t="shared" si="6"/>
        <v>94576.56</v>
      </c>
    </row>
    <row r="20" spans="1:25" x14ac:dyDescent="0.25">
      <c r="A20" s="757" t="s">
        <v>28</v>
      </c>
      <c r="B20" s="757"/>
      <c r="C20" s="414">
        <v>22</v>
      </c>
      <c r="D20" s="414">
        <v>0</v>
      </c>
      <c r="E20" s="832">
        <f t="shared" si="0"/>
        <v>44</v>
      </c>
      <c r="F20" s="832"/>
      <c r="G20" s="833">
        <v>3.609</v>
      </c>
      <c r="H20" s="833"/>
      <c r="I20" s="577">
        <f t="shared" si="2"/>
        <v>158.79599999999999</v>
      </c>
      <c r="J20" s="578">
        <f t="shared" si="1"/>
        <v>883434.12</v>
      </c>
      <c r="M20" s="2"/>
      <c r="R20" s="756" t="s">
        <v>28</v>
      </c>
      <c r="S20" s="756"/>
      <c r="T20" s="897">
        <f t="shared" si="3"/>
        <v>44</v>
      </c>
      <c r="U20" s="897"/>
      <c r="V20" s="896">
        <v>1</v>
      </c>
      <c r="W20" s="896"/>
      <c r="X20" s="156">
        <f t="shared" si="4"/>
        <v>44</v>
      </c>
      <c r="Y20" s="266">
        <f t="shared" si="6"/>
        <v>244786.4</v>
      </c>
    </row>
    <row r="21" spans="1:25" ht="15" customHeight="1" x14ac:dyDescent="0.25">
      <c r="A21" s="757" t="s">
        <v>29</v>
      </c>
      <c r="B21" s="757"/>
      <c r="C21" s="414">
        <v>6</v>
      </c>
      <c r="D21" s="414">
        <v>0</v>
      </c>
      <c r="E21" s="832">
        <f t="shared" si="0"/>
        <v>12</v>
      </c>
      <c r="F21" s="832"/>
      <c r="G21" s="833">
        <v>6.0640000000000001</v>
      </c>
      <c r="H21" s="833"/>
      <c r="I21" s="577">
        <f t="shared" si="2"/>
        <v>72.768000000000001</v>
      </c>
      <c r="J21" s="578">
        <f t="shared" si="1"/>
        <v>404832.2</v>
      </c>
      <c r="M21" s="2"/>
      <c r="R21" s="756" t="s">
        <v>29</v>
      </c>
      <c r="S21" s="756"/>
      <c r="T21" s="897">
        <f t="shared" si="3"/>
        <v>12</v>
      </c>
      <c r="U21" s="897"/>
      <c r="V21" s="896">
        <v>1</v>
      </c>
      <c r="W21" s="896"/>
      <c r="X21" s="156">
        <f t="shared" si="4"/>
        <v>12</v>
      </c>
      <c r="Y21" s="266">
        <f t="shared" si="6"/>
        <v>66759.929999999993</v>
      </c>
    </row>
    <row r="22" spans="1:25" ht="15" customHeight="1" x14ac:dyDescent="0.25">
      <c r="A22" s="757" t="s">
        <v>30</v>
      </c>
      <c r="B22" s="757"/>
      <c r="C22" s="414">
        <v>11</v>
      </c>
      <c r="D22" s="414">
        <v>0</v>
      </c>
      <c r="E22" s="832">
        <f t="shared" si="0"/>
        <v>22</v>
      </c>
      <c r="F22" s="832"/>
      <c r="G22" s="833">
        <v>6.0640000000000001</v>
      </c>
      <c r="H22" s="833"/>
      <c r="I22" s="577">
        <f t="shared" si="2"/>
        <v>133.40799999999999</v>
      </c>
      <c r="J22" s="578">
        <f t="shared" si="1"/>
        <v>742192.37</v>
      </c>
      <c r="M22" s="2"/>
      <c r="R22" s="756" t="s">
        <v>30</v>
      </c>
      <c r="S22" s="756"/>
      <c r="T22" s="897">
        <f t="shared" si="3"/>
        <v>22</v>
      </c>
      <c r="U22" s="897"/>
      <c r="V22" s="896">
        <v>1</v>
      </c>
      <c r="W22" s="896"/>
      <c r="X22" s="156">
        <f t="shared" si="4"/>
        <v>22</v>
      </c>
      <c r="Y22" s="266">
        <f t="shared" si="6"/>
        <v>122393.2</v>
      </c>
    </row>
    <row r="23" spans="1:25" ht="15" customHeight="1" x14ac:dyDescent="0.25">
      <c r="A23" s="757" t="s">
        <v>31</v>
      </c>
      <c r="B23" s="757"/>
      <c r="C23" s="414">
        <v>25.5</v>
      </c>
      <c r="D23" s="414">
        <v>0</v>
      </c>
      <c r="E23" s="832">
        <f t="shared" si="0"/>
        <v>51</v>
      </c>
      <c r="F23" s="832"/>
      <c r="G23" s="833">
        <v>6.0640000000000001</v>
      </c>
      <c r="H23" s="833"/>
      <c r="I23" s="577">
        <f t="shared" si="2"/>
        <v>309.26400000000001</v>
      </c>
      <c r="J23" s="578">
        <f t="shared" si="1"/>
        <v>1720536.85</v>
      </c>
      <c r="M23" s="2"/>
      <c r="R23" s="756" t="s">
        <v>31</v>
      </c>
      <c r="S23" s="756"/>
      <c r="T23" s="897">
        <f t="shared" si="3"/>
        <v>51</v>
      </c>
      <c r="U23" s="897"/>
      <c r="V23" s="896">
        <v>1</v>
      </c>
      <c r="W23" s="896"/>
      <c r="X23" s="156">
        <f t="shared" si="4"/>
        <v>51</v>
      </c>
      <c r="Y23" s="266">
        <f t="shared" si="6"/>
        <v>283729.69</v>
      </c>
    </row>
    <row r="24" spans="1:25" x14ac:dyDescent="0.25">
      <c r="A24" s="757" t="s">
        <v>32</v>
      </c>
      <c r="B24" s="757"/>
      <c r="C24" s="414"/>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712">
        <f>SUM(C12:C27)</f>
        <v>80.5</v>
      </c>
      <c r="D28" s="126">
        <f>SUM(D12:D27)</f>
        <v>0</v>
      </c>
      <c r="E28" s="837">
        <f>SUM(E12:E27)</f>
        <v>161</v>
      </c>
      <c r="F28" s="837"/>
      <c r="G28" s="838"/>
      <c r="H28" s="838"/>
      <c r="I28" s="23">
        <f>SUM(I12:I27)</f>
        <v>765.99099999999999</v>
      </c>
      <c r="J28" s="127">
        <f>SUM(J12:J27)</f>
        <v>4261458.6400000006</v>
      </c>
      <c r="M28" s="2"/>
      <c r="R28" s="899" t="s">
        <v>36</v>
      </c>
      <c r="S28" s="899"/>
      <c r="T28" s="900">
        <f>SUM(T12:T27)</f>
        <v>161</v>
      </c>
      <c r="U28" s="900"/>
      <c r="V28" s="901"/>
      <c r="W28" s="901"/>
      <c r="X28" s="158">
        <f>SUM(X12:X27)</f>
        <v>161</v>
      </c>
      <c r="Y28" s="266">
        <f>SUM(Y12:Y27)</f>
        <v>895695.69</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765.99099999999999</v>
      </c>
      <c r="H33" s="838" t="s">
        <v>45</v>
      </c>
      <c r="I33" s="838"/>
      <c r="J33" s="32">
        <f>SUM(J32,J28)</f>
        <v>4261458.6400000006</v>
      </c>
      <c r="M33" s="2"/>
      <c r="R33" s="854" t="s">
        <v>44</v>
      </c>
      <c r="S33" s="854"/>
      <c r="T33" s="854"/>
      <c r="U33" s="854"/>
      <c r="V33" s="164">
        <f>V32+X28</f>
        <v>161</v>
      </c>
      <c r="W33" s="901" t="s">
        <v>45</v>
      </c>
      <c r="X33" s="901"/>
      <c r="Y33" s="165">
        <f>SUM(Y32,Y28)</f>
        <v>895695.69</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4261458.6399999997</v>
      </c>
      <c r="H36" s="223" t="s">
        <v>49</v>
      </c>
      <c r="I36" s="38">
        <v>6.6699999999999995E-2</v>
      </c>
      <c r="J36" s="131">
        <f>ROUND(G36*I36,2)</f>
        <v>284239.28999999998</v>
      </c>
      <c r="K36" s="39"/>
      <c r="L36" s="233"/>
      <c r="M36" s="233"/>
      <c r="N36" s="233"/>
      <c r="O36" s="31"/>
      <c r="P36" s="232"/>
      <c r="Q36" s="232"/>
      <c r="R36" s="756" t="s">
        <v>47</v>
      </c>
      <c r="S36" s="756"/>
      <c r="T36" s="756"/>
      <c r="U36" s="253"/>
      <c r="V36" s="172">
        <v>895695.69</v>
      </c>
      <c r="W36" s="239" t="s">
        <v>49</v>
      </c>
      <c r="X36" s="174">
        <v>6.6699999999999995E-2</v>
      </c>
      <c r="Y36" s="266">
        <f>ROUND(V36*X36,2)</f>
        <v>59742.9</v>
      </c>
    </row>
    <row r="37" spans="1:25" ht="20.25" customHeight="1" x14ac:dyDescent="0.25">
      <c r="A37" s="757" t="s">
        <v>50</v>
      </c>
      <c r="B37" s="757"/>
      <c r="C37" s="757"/>
      <c r="D37" s="757"/>
      <c r="E37" s="757"/>
      <c r="F37" s="248" t="s">
        <v>48</v>
      </c>
      <c r="G37" s="132">
        <v>4261458.6399999997</v>
      </c>
      <c r="H37" s="223" t="s">
        <v>49</v>
      </c>
      <c r="I37" s="38">
        <v>5.4000000000000003E-3</v>
      </c>
      <c r="J37" s="131">
        <f>ROUND(G37*I37,2)</f>
        <v>23011.88</v>
      </c>
      <c r="K37" s="39"/>
      <c r="L37" s="233"/>
      <c r="M37" s="233"/>
      <c r="N37" s="233"/>
      <c r="O37" s="31"/>
      <c r="P37" s="232"/>
      <c r="Q37" s="232"/>
      <c r="R37" s="756" t="s">
        <v>50</v>
      </c>
      <c r="S37" s="756"/>
      <c r="T37" s="756"/>
      <c r="U37" s="253"/>
      <c r="V37" s="172">
        <v>895695.69</v>
      </c>
      <c r="W37" s="239" t="s">
        <v>49</v>
      </c>
      <c r="X37" s="174">
        <v>5.4000000000000003E-3</v>
      </c>
      <c r="Y37" s="266">
        <f>ROUND(V37*X37,2)</f>
        <v>4836.76</v>
      </c>
    </row>
    <row r="38" spans="1:25" ht="20.25" customHeight="1" x14ac:dyDescent="0.25">
      <c r="A38" s="841" t="s">
        <v>51</v>
      </c>
      <c r="B38" s="841"/>
      <c r="C38" s="841"/>
      <c r="D38" s="841"/>
      <c r="E38" s="841"/>
      <c r="F38" s="248" t="s">
        <v>52</v>
      </c>
      <c r="G38" s="40"/>
      <c r="H38" s="223"/>
      <c r="I38" s="41"/>
      <c r="J38" s="131">
        <f>SUM(J36:J37)</f>
        <v>307251.17</v>
      </c>
      <c r="K38" s="39"/>
      <c r="L38" s="233"/>
      <c r="M38" s="233"/>
      <c r="N38" s="233"/>
      <c r="O38" s="31"/>
      <c r="P38" s="232"/>
      <c r="Q38" s="232"/>
      <c r="R38" s="758" t="s">
        <v>51</v>
      </c>
      <c r="S38" s="758"/>
      <c r="T38" s="758"/>
      <c r="U38" s="253" t="s">
        <v>52</v>
      </c>
      <c r="V38" s="175"/>
      <c r="W38" s="239"/>
      <c r="X38" s="176"/>
      <c r="Y38" s="266">
        <f>Y36+Y37</f>
        <v>64579.66</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46">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4.5</v>
      </c>
      <c r="D49" s="414">
        <v>0</v>
      </c>
      <c r="E49" s="852">
        <f t="shared" si="7"/>
        <v>9</v>
      </c>
      <c r="F49" s="852"/>
      <c r="G49" s="47" t="s">
        <v>61</v>
      </c>
      <c r="H49" s="223">
        <v>253</v>
      </c>
      <c r="I49" s="136">
        <f>INDEX('[1]111-112-113 ADDITIONAL FUND'!L$1:L$65536,MATCH($A$1,'[1]111-112-113 ADDITIONAL FUND'!A$1:A$65536))</f>
        <v>6685</v>
      </c>
      <c r="J49" s="137">
        <f t="shared" si="8"/>
        <v>60165</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4.5</v>
      </c>
      <c r="D50" s="584">
        <f>SUM(D41:D49)</f>
        <v>0</v>
      </c>
      <c r="E50" s="853">
        <f>SUM(E41:E49)</f>
        <v>9</v>
      </c>
      <c r="F50" s="853"/>
      <c r="G50" s="839" t="s">
        <v>63</v>
      </c>
      <c r="H50" s="839"/>
      <c r="I50" s="839"/>
      <c r="J50" s="276">
        <f>SUM(J41:J49)</f>
        <v>60165</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161</v>
      </c>
      <c r="U52" s="184" t="s">
        <v>66</v>
      </c>
      <c r="V52" s="185"/>
      <c r="W52" s="186" t="s">
        <v>67</v>
      </c>
      <c r="X52" s="884">
        <f>I53</f>
        <v>215320.92</v>
      </c>
      <c r="Y52" s="884"/>
    </row>
    <row r="53" spans="1:25" ht="16.5" customHeight="1" x14ac:dyDescent="0.25">
      <c r="A53" s="848" t="s">
        <v>65</v>
      </c>
      <c r="B53" s="848"/>
      <c r="C53" s="237"/>
      <c r="D53" s="237"/>
      <c r="E53" s="48">
        <f>E28</f>
        <v>161</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7.4799999999999997E-4</v>
      </c>
      <c r="Y53" s="885"/>
    </row>
    <row r="54" spans="1:25" ht="22.5" customHeight="1" x14ac:dyDescent="0.25">
      <c r="A54" s="237"/>
      <c r="B54" s="230"/>
      <c r="C54" s="230"/>
      <c r="D54" s="230"/>
      <c r="H54" s="53" t="s">
        <v>68</v>
      </c>
      <c r="I54" s="849">
        <f>IFERROR(ROUND(E53/I53,6),0)</f>
        <v>7.4799999999999997E-4</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161</v>
      </c>
      <c r="U55" s="184" t="s">
        <v>66</v>
      </c>
      <c r="V55" s="185"/>
      <c r="W55" s="186" t="s">
        <v>71</v>
      </c>
      <c r="X55" s="884">
        <f>I56</f>
        <v>229051.25000000003</v>
      </c>
      <c r="Y55" s="884"/>
    </row>
    <row r="56" spans="1:25" ht="16.5" customHeight="1" x14ac:dyDescent="0.25">
      <c r="A56" s="848" t="s">
        <v>70</v>
      </c>
      <c r="B56" s="848"/>
      <c r="C56" s="237"/>
      <c r="D56" s="237"/>
      <c r="E56" s="48">
        <f>G33</f>
        <v>765.99099999999999</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7.0299999999999996E-4</v>
      </c>
      <c r="Y56" s="885"/>
    </row>
    <row r="57" spans="1:25" ht="18.75" customHeight="1" x14ac:dyDescent="0.25">
      <c r="A57" s="237"/>
      <c r="H57" s="53" t="s">
        <v>68</v>
      </c>
      <c r="I57" s="849">
        <f>IFERROR(ROUND(E56/I56,6),0)</f>
        <v>3.3440000000000002E-3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161</v>
      </c>
      <c r="U58" s="184" t="s">
        <v>66</v>
      </c>
      <c r="V58" s="883" t="s">
        <v>74</v>
      </c>
      <c r="W58" s="883"/>
      <c r="X58" s="884">
        <f>I59</f>
        <v>186156.17</v>
      </c>
      <c r="Y58" s="884"/>
    </row>
    <row r="59" spans="1:25" ht="18.75" customHeight="1" x14ac:dyDescent="0.25">
      <c r="A59" s="848" t="s">
        <v>73</v>
      </c>
      <c r="B59" s="848"/>
      <c r="C59" s="237"/>
      <c r="D59" s="237"/>
      <c r="E59" s="48">
        <f>E28</f>
        <v>161</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8.6499999999999999E-4</v>
      </c>
      <c r="Y59" s="885"/>
    </row>
    <row r="60" spans="1:25" ht="18" customHeight="1" x14ac:dyDescent="0.25">
      <c r="A60" s="237"/>
      <c r="H60" s="53" t="s">
        <v>68</v>
      </c>
      <c r="I60" s="849">
        <f>IFERROR(ROUND(E59/I59,6),0)</f>
        <v>8.6499999999999999E-4</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161</v>
      </c>
      <c r="U61" s="184" t="s">
        <v>66</v>
      </c>
      <c r="V61" s="883" t="s">
        <v>76</v>
      </c>
      <c r="W61" s="883"/>
      <c r="X61" s="884">
        <f>I62</f>
        <v>215016.58000000002</v>
      </c>
      <c r="Y61" s="884"/>
    </row>
    <row r="62" spans="1:25" ht="30.75" customHeight="1" x14ac:dyDescent="0.25">
      <c r="A62" s="848" t="s">
        <v>73</v>
      </c>
      <c r="B62" s="848"/>
      <c r="C62" s="237"/>
      <c r="D62" s="237"/>
      <c r="E62" s="48">
        <f>E28</f>
        <v>161</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7.4899999999999999E-4</v>
      </c>
      <c r="Y62" s="885"/>
    </row>
    <row r="63" spans="1:25" ht="19.5" customHeight="1" x14ac:dyDescent="0.25">
      <c r="A63" s="237"/>
      <c r="H63" s="53" t="s">
        <v>68</v>
      </c>
      <c r="I63" s="849">
        <f>IFERROR(ROUND(E62/I62,6),0)</f>
        <v>7.4899999999999999E-4</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161</v>
      </c>
      <c r="U64" s="184" t="s">
        <v>66</v>
      </c>
      <c r="V64" s="883" t="s">
        <v>165</v>
      </c>
      <c r="W64" s="883"/>
      <c r="X64" s="884">
        <f>I65</f>
        <v>185851.83000000002</v>
      </c>
      <c r="Y64" s="884"/>
    </row>
    <row r="65" spans="1:26" ht="49.5" customHeight="1" x14ac:dyDescent="0.25">
      <c r="A65" s="848" t="s">
        <v>73</v>
      </c>
      <c r="B65" s="848"/>
      <c r="C65" s="237"/>
      <c r="D65" s="237"/>
      <c r="E65" s="48">
        <f>E28</f>
        <v>161</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8.6600000000000002E-4</v>
      </c>
      <c r="Y65" s="885"/>
    </row>
    <row r="66" spans="1:26" ht="19.5" customHeight="1" x14ac:dyDescent="0.25">
      <c r="A66" s="237"/>
      <c r="H66" s="53" t="s">
        <v>68</v>
      </c>
      <c r="I66" s="849">
        <f>IFERROR(ROUND(E65/I65,6),0)</f>
        <v>8.6600000000000002E-4</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7.4899999999999999E-4</v>
      </c>
      <c r="Y67" s="271">
        <f>ROUND(V67*X67,2)</f>
        <v>35420.769999999997</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7.4899999999999999E-4</v>
      </c>
      <c r="J68" s="138">
        <f>ROUND(G68*I68,2)</f>
        <v>35420.769999999997</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7.4799999999999997E-4</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7.4799999999999997E-4</v>
      </c>
      <c r="J70" s="138">
        <f>ROUND(G70*I70,2)</f>
        <v>0</v>
      </c>
      <c r="M70" s="2"/>
      <c r="R70" s="758" t="s">
        <v>167</v>
      </c>
      <c r="S70" s="758"/>
      <c r="T70" s="758"/>
      <c r="U70" s="253"/>
      <c r="V70" s="193">
        <f>G71</f>
        <v>19167881</v>
      </c>
      <c r="W70" s="239" t="s">
        <v>81</v>
      </c>
      <c r="X70" s="176">
        <f>X65</f>
        <v>8.6600000000000002E-4</v>
      </c>
      <c r="Y70" s="266">
        <f t="shared" si="11"/>
        <v>16599.38</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8.6600000000000002E-4</v>
      </c>
      <c r="J71" s="138">
        <f>ROUND(G71*I71,2)</f>
        <v>16599.38</v>
      </c>
      <c r="M71" s="2"/>
      <c r="R71" s="240" t="s">
        <v>168</v>
      </c>
      <c r="S71" s="240"/>
      <c r="T71" s="240"/>
      <c r="U71" s="253"/>
      <c r="V71" s="171">
        <f>G72</f>
        <v>11546889</v>
      </c>
      <c r="W71" s="239" t="s">
        <v>81</v>
      </c>
      <c r="X71" s="176">
        <f>X59</f>
        <v>8.6499999999999999E-4</v>
      </c>
      <c r="Y71" s="266">
        <f t="shared" si="11"/>
        <v>9988.06</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8.6499999999999999E-4</v>
      </c>
      <c r="J72" s="138">
        <f>ROUND(G72*I72,2)</f>
        <v>9988.06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3.3440000000000002E-3</v>
      </c>
      <c r="J85" s="138">
        <f>ROUND(G85*I85,2)</f>
        <v>898921.63</v>
      </c>
      <c r="K85" s="70"/>
      <c r="L85" s="70"/>
      <c r="M85" s="71"/>
      <c r="N85" s="70"/>
      <c r="O85" s="70"/>
      <c r="P85" s="70"/>
      <c r="Q85" s="70"/>
      <c r="R85" s="758" t="s">
        <v>172</v>
      </c>
      <c r="S85" s="758"/>
      <c r="T85" s="758"/>
      <c r="U85" s="253"/>
      <c r="V85" s="171">
        <f>G85</f>
        <v>268816278</v>
      </c>
      <c r="W85" s="239" t="s">
        <v>81</v>
      </c>
      <c r="X85" s="176">
        <f>X56</f>
        <v>7.0299999999999996E-4</v>
      </c>
      <c r="Y85" s="266">
        <f t="shared" ref="Y85:Y87" si="12">ROUND(V85*X85,2)</f>
        <v>188977.84</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3.3440000000000002E-3</v>
      </c>
      <c r="J86" s="138">
        <f>ROUND(G86*I86,2)</f>
        <v>0</v>
      </c>
      <c r="K86" s="70"/>
      <c r="L86" s="71"/>
      <c r="M86" s="76"/>
      <c r="N86" s="76"/>
      <c r="O86" s="76"/>
      <c r="P86" s="76"/>
      <c r="Q86" s="70"/>
      <c r="R86" s="758" t="s">
        <v>173</v>
      </c>
      <c r="S86" s="758"/>
      <c r="T86" s="758"/>
      <c r="U86" s="253"/>
      <c r="V86" s="203">
        <f>G86</f>
        <v>0</v>
      </c>
      <c r="W86" s="239" t="s">
        <v>81</v>
      </c>
      <c r="X86" s="176">
        <f>X56</f>
        <v>7.0299999999999996E-4</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7.4799999999999997E-4</v>
      </c>
      <c r="J87" s="62">
        <f>ROUND(G87*I87,2)</f>
        <v>0</v>
      </c>
      <c r="K87" s="77"/>
      <c r="L87" s="70"/>
      <c r="M87" s="71"/>
      <c r="N87" s="70"/>
      <c r="O87" s="70"/>
      <c r="P87" s="70"/>
      <c r="Q87" s="70"/>
      <c r="R87" s="240" t="s">
        <v>174</v>
      </c>
      <c r="S87" s="240"/>
      <c r="T87" s="240"/>
      <c r="U87" s="253"/>
      <c r="V87" s="203">
        <f>G87</f>
        <v>0</v>
      </c>
      <c r="W87" s="239" t="s">
        <v>81</v>
      </c>
      <c r="X87" s="176">
        <f>X53</f>
        <v>7.4799999999999997E-4</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94.421999999999997</v>
      </c>
      <c r="C90" s="245"/>
      <c r="D90" s="915">
        <f>I6</f>
        <v>1.0355000000000001</v>
      </c>
      <c r="E90" s="915"/>
      <c r="F90" s="915"/>
      <c r="G90" s="122">
        <f>'[1]Detail 2025-26 FEFP Second'!AB3</f>
        <v>958.42</v>
      </c>
      <c r="H90" s="47" t="s">
        <v>68</v>
      </c>
      <c r="I90" s="141">
        <f>ROUND(B90*D90*G90,2)</f>
        <v>93708.54</v>
      </c>
      <c r="J90" s="81"/>
      <c r="K90" s="70"/>
      <c r="L90" s="70"/>
      <c r="M90" s="71"/>
      <c r="N90" s="70"/>
      <c r="O90" s="70"/>
      <c r="P90" s="70"/>
      <c r="Q90" s="70"/>
      <c r="R90" s="238" t="s">
        <v>110</v>
      </c>
      <c r="S90" s="251">
        <f>X12+X13+X18+X21+X24</f>
        <v>18</v>
      </c>
      <c r="T90" s="870">
        <f>X6</f>
        <v>1.0355000000000001</v>
      </c>
      <c r="U90" s="870"/>
      <c r="V90" s="122">
        <f>G90</f>
        <v>958.42</v>
      </c>
      <c r="W90" s="182" t="s">
        <v>68</v>
      </c>
      <c r="X90" s="272">
        <f>ROUND(S90*T90*V90,2)</f>
        <v>17863.990000000002</v>
      </c>
      <c r="Y90" s="205"/>
    </row>
    <row r="91" spans="1:26" ht="21" customHeight="1" x14ac:dyDescent="0.25">
      <c r="A91" s="82" t="s">
        <v>60</v>
      </c>
      <c r="B91" s="245">
        <f>I14+I15+I19+I22+I25</f>
        <v>194.761</v>
      </c>
      <c r="C91" s="245"/>
      <c r="D91" s="915">
        <f>I6</f>
        <v>1.0355000000000001</v>
      </c>
      <c r="E91" s="915"/>
      <c r="F91" s="915"/>
      <c r="G91" s="122">
        <f>'[1]Detail 2025-26 FEFP Second'!AC3</f>
        <v>915.09</v>
      </c>
      <c r="H91" s="47" t="s">
        <v>68</v>
      </c>
      <c r="I91" s="140">
        <f>ROUND(B91*D91*G91,2)</f>
        <v>184550.79</v>
      </c>
      <c r="K91" s="70"/>
      <c r="L91" s="70"/>
      <c r="M91" s="71"/>
      <c r="N91" s="70"/>
      <c r="O91" s="70"/>
      <c r="P91" s="70"/>
      <c r="Q91" s="70"/>
      <c r="R91" s="206" t="s">
        <v>60</v>
      </c>
      <c r="S91" s="251">
        <f>X14+X15+X19+X22+X25</f>
        <v>39</v>
      </c>
      <c r="T91" s="870">
        <f>X6</f>
        <v>1.0355000000000001</v>
      </c>
      <c r="U91" s="870"/>
      <c r="V91" s="122">
        <f>G91</f>
        <v>915.09</v>
      </c>
      <c r="W91" s="182" t="s">
        <v>68</v>
      </c>
      <c r="X91" s="272">
        <f>ROUND(S91*T91*V91,2)</f>
        <v>36955.449999999997</v>
      </c>
      <c r="Y91" s="170"/>
    </row>
    <row r="92" spans="1:26" ht="19.5" customHeight="1" thickBot="1" x14ac:dyDescent="0.3">
      <c r="A92" s="83" t="s">
        <v>61</v>
      </c>
      <c r="B92" s="109">
        <f>I16+I17+I20+I23+I26+I27</f>
        <v>476.80799999999999</v>
      </c>
      <c r="C92" s="109"/>
      <c r="D92" s="915">
        <f>I6</f>
        <v>1.0355000000000001</v>
      </c>
      <c r="E92" s="915"/>
      <c r="F92" s="915"/>
      <c r="G92" s="122">
        <f>'[1]Detail 2025-26 FEFP Second'!AD3</f>
        <v>917.3</v>
      </c>
      <c r="H92" s="47" t="s">
        <v>68</v>
      </c>
      <c r="I92" s="574">
        <f>ROUND(B92*D92*G92,2)</f>
        <v>452902.83</v>
      </c>
      <c r="K92" s="70"/>
      <c r="L92" s="70"/>
      <c r="M92" s="71"/>
      <c r="N92" s="70"/>
      <c r="O92" s="70"/>
      <c r="P92" s="70"/>
      <c r="Q92" s="70"/>
      <c r="R92" s="207" t="s">
        <v>61</v>
      </c>
      <c r="S92" s="208">
        <f>X16+X17+X20+X23+X26+X27</f>
        <v>104</v>
      </c>
      <c r="T92" s="870">
        <f>X6</f>
        <v>1.0355000000000001</v>
      </c>
      <c r="U92" s="870"/>
      <c r="V92" s="122">
        <f>G92</f>
        <v>917.3</v>
      </c>
      <c r="W92" s="182" t="s">
        <v>68</v>
      </c>
      <c r="X92" s="272">
        <f>ROUND(S92*T92*V92,2)</f>
        <v>98785.87</v>
      </c>
      <c r="Y92" s="170"/>
    </row>
    <row r="93" spans="1:26" ht="18.75" customHeight="1" thickBot="1" x14ac:dyDescent="0.3">
      <c r="A93" s="247" t="s">
        <v>111</v>
      </c>
      <c r="B93" s="109">
        <f>SUM(B90:B92)</f>
        <v>765.99099999999999</v>
      </c>
      <c r="C93" s="109"/>
      <c r="D93" s="109"/>
      <c r="E93" s="867" t="s">
        <v>112</v>
      </c>
      <c r="F93" s="867"/>
      <c r="G93" s="867"/>
      <c r="H93" s="867"/>
      <c r="I93" s="867"/>
      <c r="J93" s="127">
        <f>IF(A1=75,0,I92+I91+I90)</f>
        <v>731162.16</v>
      </c>
      <c r="K93" s="70"/>
      <c r="L93" s="70"/>
      <c r="M93" s="71"/>
      <c r="N93" s="70"/>
      <c r="O93" s="70"/>
      <c r="P93" s="70"/>
      <c r="Q93" s="70"/>
      <c r="R93" s="252" t="s">
        <v>111</v>
      </c>
      <c r="S93" s="210">
        <f>SUM(S90:S92)</f>
        <v>161</v>
      </c>
      <c r="T93" s="874" t="s">
        <v>112</v>
      </c>
      <c r="U93" s="875"/>
      <c r="V93" s="875"/>
      <c r="W93" s="875"/>
      <c r="X93" s="875"/>
      <c r="Y93" s="266">
        <f>IF(R1=75,0,X92+X91+X90)</f>
        <v>153605.31</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1</v>
      </c>
      <c r="U96" s="872"/>
      <c r="V96" s="872"/>
      <c r="W96" s="261" t="s">
        <v>117</v>
      </c>
      <c r="X96" s="212">
        <f>I97</f>
        <v>617</v>
      </c>
      <c r="Y96" s="266">
        <f>ROUND(X96*T96,2)</f>
        <v>617</v>
      </c>
    </row>
    <row r="97" spans="1:25" ht="17.25" customHeight="1" x14ac:dyDescent="0.25">
      <c r="A97" s="839" t="s">
        <v>116</v>
      </c>
      <c r="B97" s="839"/>
      <c r="C97" s="279">
        <v>0</v>
      </c>
      <c r="D97" s="279">
        <v>2</v>
      </c>
      <c r="E97" s="942">
        <f>(C97+D97)/2</f>
        <v>1</v>
      </c>
      <c r="F97" s="871"/>
      <c r="G97" s="871"/>
      <c r="H97" s="224" t="s">
        <v>117</v>
      </c>
      <c r="I97" s="130">
        <f>IF(A1&gt;67,0,INDEX('[1]Transportation Per Student'!F$1:F$65536,MATCH(A1,'[1]Transportation Per Student'!B$1:B$65536)))</f>
        <v>617</v>
      </c>
      <c r="J97" s="138">
        <f>ROUND(I97*E97,2)</f>
        <v>617</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6014332.6399999997</v>
      </c>
      <c r="L107" s="575"/>
      <c r="R107" s="758" t="s">
        <v>125</v>
      </c>
      <c r="S107" s="758"/>
      <c r="T107" s="758"/>
      <c r="U107" s="758"/>
      <c r="V107" s="758"/>
      <c r="W107" s="758"/>
      <c r="X107" s="758"/>
      <c r="Y107" s="730">
        <f>SUM(Y106,Y105,Y97,Y96,Y93,Y86,Y85,Y84,Y70,Y69,Y67,Y33,Y71,Y50,Y87,Y83)</f>
        <v>1300904.05</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5707081.4699999997</v>
      </c>
      <c r="R109" s="170" t="s">
        <v>180</v>
      </c>
      <c r="S109" s="170"/>
      <c r="T109" s="170"/>
      <c r="U109" s="170"/>
      <c r="V109" s="170"/>
      <c r="W109" s="170"/>
      <c r="X109" s="170"/>
      <c r="Y109" s="731">
        <f>Y107-Y38</f>
        <v>1236324.3900000001</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3">
        <v>1</v>
      </c>
      <c r="J111" s="137">
        <f>Y109</f>
        <v>1236324.3900000001</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601"/>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716"/>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17">
        <f>IF(I111=1,J111,J109)</f>
        <v>1236324.3900000001</v>
      </c>
      <c r="J114" s="718">
        <f>ROUND(IF(E28=0,0,IF(E28&gt;250,-(((250/E28)*I114)*IF(H113="H",0.02,0.05)),IF(H113="H",-0.02*I114,-0.05*I114))),2)</f>
        <v>-61816.22</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5952516.4199999999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Payments'!R80</f>
        <v>-981919.66999999993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4970596.75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497059.68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7115-A370-40C6-8E06-C088BC87A968}">
  <dimension ref="A1:Z207"/>
  <sheetViews>
    <sheetView topLeftCell="A100" workbookViewId="0">
      <selection activeCell="J115" sqref="J11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447</v>
      </c>
      <c r="B2" s="102"/>
      <c r="C2" s="102"/>
      <c r="D2" s="102"/>
      <c r="E2" s="100"/>
      <c r="F2" s="100"/>
      <c r="G2" s="100"/>
      <c r="H2" s="100"/>
      <c r="I2" s="100"/>
      <c r="J2" s="100"/>
      <c r="K2" s="6"/>
      <c r="L2" s="6"/>
      <c r="M2" s="6"/>
      <c r="N2" s="6"/>
      <c r="O2" s="6"/>
      <c r="P2" s="6"/>
      <c r="Q2" s="6"/>
      <c r="R2" s="920" t="str">
        <f>Revenue_Estimate_Worksheet_for___________Charter_School</f>
        <v>Revenue Estimate Worksheet: Career Academy of the Palm Beaches - 3345</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Second'!$C$1:$C$65536,MATCH('3345'!$A$1,'[1]Detail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Second'!$D$1:$D$65536,MATCH('3345'!$A$1,'[1]Detail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37.5</v>
      </c>
      <c r="D17" s="414">
        <v>0</v>
      </c>
      <c r="E17" s="832">
        <f t="shared" si="0"/>
        <v>75</v>
      </c>
      <c r="F17" s="832"/>
      <c r="G17" s="833">
        <v>0.97199999999999998</v>
      </c>
      <c r="H17" s="833"/>
      <c r="I17" s="577">
        <f t="shared" si="2"/>
        <v>72.900000000000006</v>
      </c>
      <c r="J17" s="578">
        <f t="shared" si="1"/>
        <v>405566.56</v>
      </c>
      <c r="M17" s="2"/>
      <c r="R17" s="756" t="s">
        <v>25</v>
      </c>
      <c r="S17" s="756"/>
      <c r="T17" s="897">
        <f t="shared" si="3"/>
        <v>75</v>
      </c>
      <c r="U17" s="897"/>
      <c r="V17" s="896">
        <v>1</v>
      </c>
      <c r="W17" s="896"/>
      <c r="X17" s="156">
        <f t="shared" si="4"/>
        <v>75</v>
      </c>
      <c r="Y17" s="266">
        <f t="shared" si="6"/>
        <v>417249.55</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1</v>
      </c>
      <c r="D20" s="414">
        <v>0</v>
      </c>
      <c r="E20" s="832">
        <f t="shared" si="0"/>
        <v>2</v>
      </c>
      <c r="F20" s="832"/>
      <c r="G20" s="833">
        <v>3.609</v>
      </c>
      <c r="H20" s="833"/>
      <c r="I20" s="577">
        <f t="shared" si="2"/>
        <v>7.218</v>
      </c>
      <c r="J20" s="578">
        <f t="shared" si="1"/>
        <v>40156.1</v>
      </c>
      <c r="M20" s="2"/>
      <c r="R20" s="756" t="s">
        <v>28</v>
      </c>
      <c r="S20" s="756"/>
      <c r="T20" s="897">
        <f t="shared" si="3"/>
        <v>2</v>
      </c>
      <c r="U20" s="897"/>
      <c r="V20" s="896">
        <v>1</v>
      </c>
      <c r="W20" s="896"/>
      <c r="X20" s="156">
        <f t="shared" si="4"/>
        <v>2</v>
      </c>
      <c r="Y20" s="266">
        <f t="shared" si="6"/>
        <v>11126.65</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712">
        <f>SUM(C12:C27)</f>
        <v>38.5</v>
      </c>
      <c r="D28" s="126">
        <f>SUM(D12:D27)</f>
        <v>0</v>
      </c>
      <c r="E28" s="837">
        <f>SUM(E12:E27)</f>
        <v>77</v>
      </c>
      <c r="F28" s="837"/>
      <c r="G28" s="838"/>
      <c r="H28" s="838"/>
      <c r="I28" s="23">
        <f>SUM(I12:I27)</f>
        <v>80.118000000000009</v>
      </c>
      <c r="J28" s="127">
        <f>SUM(J12:J27)</f>
        <v>445722.66</v>
      </c>
      <c r="M28" s="2"/>
      <c r="R28" s="899" t="s">
        <v>36</v>
      </c>
      <c r="S28" s="899"/>
      <c r="T28" s="900">
        <f>SUM(T12:T27)</f>
        <v>77</v>
      </c>
      <c r="U28" s="900"/>
      <c r="V28" s="901"/>
      <c r="W28" s="901"/>
      <c r="X28" s="158">
        <f>SUM(X12:X27)</f>
        <v>77</v>
      </c>
      <c r="Y28" s="266">
        <f>SUM(Y12:Y27)</f>
        <v>428376.2</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80.118000000000009</v>
      </c>
      <c r="H33" s="838" t="s">
        <v>45</v>
      </c>
      <c r="I33" s="838"/>
      <c r="J33" s="32">
        <f>SUM(J32,J28)</f>
        <v>445722.66</v>
      </c>
      <c r="M33" s="2"/>
      <c r="R33" s="854" t="s">
        <v>44</v>
      </c>
      <c r="S33" s="854"/>
      <c r="T33" s="854"/>
      <c r="U33" s="854"/>
      <c r="V33" s="164">
        <f>V32+X28</f>
        <v>77</v>
      </c>
      <c r="W33" s="901" t="s">
        <v>45</v>
      </c>
      <c r="X33" s="901"/>
      <c r="Y33" s="165">
        <f>SUM(Y32,Y28)</f>
        <v>428376.2</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445722.66</v>
      </c>
      <c r="H36" s="223" t="s">
        <v>49</v>
      </c>
      <c r="I36" s="38">
        <v>6.6699999999999995E-2</v>
      </c>
      <c r="J36" s="131">
        <f>ROUND(G36*I36,2)</f>
        <v>29729.7</v>
      </c>
      <c r="K36" s="39"/>
      <c r="L36" s="233"/>
      <c r="M36" s="233"/>
      <c r="N36" s="233"/>
      <c r="O36" s="31"/>
      <c r="P36" s="232"/>
      <c r="Q36" s="232"/>
      <c r="R36" s="756" t="s">
        <v>47</v>
      </c>
      <c r="S36" s="756"/>
      <c r="T36" s="756"/>
      <c r="U36" s="253"/>
      <c r="V36" s="172">
        <v>428376.2</v>
      </c>
      <c r="W36" s="239" t="s">
        <v>49</v>
      </c>
      <c r="X36" s="174">
        <v>6.6699999999999995E-2</v>
      </c>
      <c r="Y36" s="266">
        <f>ROUND(V36*X36,2)</f>
        <v>28572.69</v>
      </c>
    </row>
    <row r="37" spans="1:25" ht="20.25" customHeight="1" x14ac:dyDescent="0.25">
      <c r="A37" s="757" t="s">
        <v>50</v>
      </c>
      <c r="B37" s="757"/>
      <c r="C37" s="757"/>
      <c r="D37" s="757"/>
      <c r="E37" s="757"/>
      <c r="F37" s="248" t="s">
        <v>48</v>
      </c>
      <c r="G37" s="132">
        <v>445722.66</v>
      </c>
      <c r="H37" s="223" t="s">
        <v>49</v>
      </c>
      <c r="I37" s="38">
        <v>5.4000000000000003E-3</v>
      </c>
      <c r="J37" s="131">
        <f>ROUND(G37*I37,2)</f>
        <v>2406.9</v>
      </c>
      <c r="K37" s="39"/>
      <c r="L37" s="233"/>
      <c r="M37" s="233"/>
      <c r="N37" s="233"/>
      <c r="O37" s="31"/>
      <c r="P37" s="232"/>
      <c r="Q37" s="232"/>
      <c r="R37" s="756" t="s">
        <v>50</v>
      </c>
      <c r="S37" s="756"/>
      <c r="T37" s="756"/>
      <c r="U37" s="253"/>
      <c r="V37" s="172">
        <v>428376.2</v>
      </c>
      <c r="W37" s="239" t="s">
        <v>49</v>
      </c>
      <c r="X37" s="174">
        <v>5.4000000000000003E-3</v>
      </c>
      <c r="Y37" s="266">
        <f>ROUND(V37*X37,2)</f>
        <v>2313.23</v>
      </c>
    </row>
    <row r="38" spans="1:25" ht="20.25" customHeight="1" x14ac:dyDescent="0.25">
      <c r="A38" s="841" t="s">
        <v>51</v>
      </c>
      <c r="B38" s="841"/>
      <c r="C38" s="841"/>
      <c r="D38" s="841"/>
      <c r="E38" s="841"/>
      <c r="F38" s="248" t="s">
        <v>52</v>
      </c>
      <c r="G38" s="40"/>
      <c r="H38" s="223"/>
      <c r="I38" s="41"/>
      <c r="J38" s="131">
        <f>SUM(J36:J37)</f>
        <v>32136.600000000002</v>
      </c>
      <c r="K38" s="39"/>
      <c r="L38" s="233"/>
      <c r="M38" s="233"/>
      <c r="N38" s="233"/>
      <c r="O38" s="31"/>
      <c r="P38" s="232"/>
      <c r="Q38" s="232"/>
      <c r="R38" s="758" t="s">
        <v>51</v>
      </c>
      <c r="S38" s="758"/>
      <c r="T38" s="758"/>
      <c r="U38" s="253" t="s">
        <v>52</v>
      </c>
      <c r="V38" s="175"/>
      <c r="W38" s="239"/>
      <c r="X38" s="176"/>
      <c r="Y38" s="266">
        <f>Y36+Y37</f>
        <v>30885.919999999998</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46">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0.5</v>
      </c>
      <c r="D47" s="414">
        <v>0</v>
      </c>
      <c r="E47" s="847">
        <f t="shared" si="7"/>
        <v>1</v>
      </c>
      <c r="F47" s="847"/>
      <c r="G47" s="47" t="s">
        <v>61</v>
      </c>
      <c r="H47" s="223">
        <v>251</v>
      </c>
      <c r="I47" s="136">
        <f>INDEX('[1]111-112-113 ADDITIONAL FUND'!J$1:J$65536,MATCH($A$1,'[1]111-112-113 ADDITIONAL FUND'!A$1:A$65536))</f>
        <v>835</v>
      </c>
      <c r="J47" s="137">
        <f t="shared" si="8"/>
        <v>835</v>
      </c>
      <c r="M47" s="2"/>
      <c r="R47" s="906"/>
      <c r="S47" s="906"/>
      <c r="T47" s="888"/>
      <c r="U47" s="888"/>
      <c r="V47" s="182" t="s">
        <v>61</v>
      </c>
      <c r="W47" s="239">
        <v>251</v>
      </c>
      <c r="X47" s="134">
        <f t="shared" si="9"/>
        <v>835</v>
      </c>
      <c r="Y47" s="269">
        <f t="shared" si="10"/>
        <v>0</v>
      </c>
    </row>
    <row r="48" spans="1:25" ht="15.75" customHeight="1" x14ac:dyDescent="0.25">
      <c r="A48" s="846"/>
      <c r="B48" s="846"/>
      <c r="C48" s="414">
        <v>8</v>
      </c>
      <c r="D48" s="414">
        <v>0</v>
      </c>
      <c r="E48" s="847">
        <f t="shared" si="7"/>
        <v>16</v>
      </c>
      <c r="F48" s="847"/>
      <c r="G48" s="47" t="s">
        <v>61</v>
      </c>
      <c r="H48" s="223">
        <v>252</v>
      </c>
      <c r="I48" s="136">
        <f>INDEX('[1]111-112-113 ADDITIONAL FUND'!K$1:K$65536,MATCH($A$1,'[1]111-112-113 ADDITIONAL FUND'!A$1:A$65536))</f>
        <v>3168</v>
      </c>
      <c r="J48" s="137">
        <f t="shared" si="8"/>
        <v>50688</v>
      </c>
      <c r="M48" s="2"/>
      <c r="R48" s="906"/>
      <c r="S48" s="906"/>
      <c r="T48" s="888"/>
      <c r="U48" s="888"/>
      <c r="V48" s="182" t="s">
        <v>61</v>
      </c>
      <c r="W48" s="239">
        <v>252</v>
      </c>
      <c r="X48" s="134">
        <f t="shared" si="9"/>
        <v>3168</v>
      </c>
      <c r="Y48" s="269">
        <f t="shared" si="10"/>
        <v>0</v>
      </c>
    </row>
    <row r="49" spans="1:25" ht="15.75" customHeight="1" thickBot="1" x14ac:dyDescent="0.3">
      <c r="A49" s="846"/>
      <c r="B49" s="846"/>
      <c r="C49" s="414">
        <v>29</v>
      </c>
      <c r="D49" s="414">
        <v>0</v>
      </c>
      <c r="E49" s="852">
        <f t="shared" si="7"/>
        <v>58</v>
      </c>
      <c r="F49" s="852"/>
      <c r="G49" s="47" t="s">
        <v>61</v>
      </c>
      <c r="H49" s="223">
        <v>253</v>
      </c>
      <c r="I49" s="136">
        <f>INDEX('[1]111-112-113 ADDITIONAL FUND'!L$1:L$65536,MATCH($A$1,'[1]111-112-113 ADDITIONAL FUND'!A$1:A$65536))</f>
        <v>6685</v>
      </c>
      <c r="J49" s="137">
        <f t="shared" si="8"/>
        <v>387730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37.5</v>
      </c>
      <c r="D50" s="584">
        <f>SUM(D41:D49)</f>
        <v>0</v>
      </c>
      <c r="E50" s="853">
        <f>SUM(E41:E49)</f>
        <v>75</v>
      </c>
      <c r="F50" s="853"/>
      <c r="G50" s="839" t="s">
        <v>63</v>
      </c>
      <c r="H50" s="839"/>
      <c r="I50" s="839"/>
      <c r="J50" s="276">
        <f>SUM(J41:J49)</f>
        <v>439253</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77</v>
      </c>
      <c r="U52" s="184" t="s">
        <v>66</v>
      </c>
      <c r="V52" s="185"/>
      <c r="W52" s="186" t="s">
        <v>67</v>
      </c>
      <c r="X52" s="884">
        <f>I53</f>
        <v>215320.92</v>
      </c>
      <c r="Y52" s="884"/>
    </row>
    <row r="53" spans="1:25" ht="16.5" customHeight="1" x14ac:dyDescent="0.25">
      <c r="A53" s="848" t="s">
        <v>65</v>
      </c>
      <c r="B53" s="848"/>
      <c r="C53" s="237"/>
      <c r="D53" s="237"/>
      <c r="E53" s="48">
        <f>E28</f>
        <v>77</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3.5799999999999997E-4</v>
      </c>
      <c r="Y53" s="885"/>
    </row>
    <row r="54" spans="1:25" ht="22.5" customHeight="1" x14ac:dyDescent="0.25">
      <c r="A54" s="237"/>
      <c r="B54" s="230"/>
      <c r="C54" s="230"/>
      <c r="D54" s="230"/>
      <c r="H54" s="53" t="s">
        <v>68</v>
      </c>
      <c r="I54" s="849">
        <f>IFERROR(ROUND(E53/I53,6),0)</f>
        <v>3.5799999999999997E-4</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77</v>
      </c>
      <c r="U55" s="184" t="s">
        <v>66</v>
      </c>
      <c r="V55" s="185"/>
      <c r="W55" s="186" t="s">
        <v>71</v>
      </c>
      <c r="X55" s="884">
        <f>I56</f>
        <v>229051.25000000003</v>
      </c>
      <c r="Y55" s="884"/>
    </row>
    <row r="56" spans="1:25" ht="16.5" customHeight="1" x14ac:dyDescent="0.25">
      <c r="A56" s="848" t="s">
        <v>70</v>
      </c>
      <c r="B56" s="848"/>
      <c r="C56" s="237"/>
      <c r="D56" s="237"/>
      <c r="E56" s="48">
        <f>G33</f>
        <v>80.118000000000009</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3.3599999999999998E-4</v>
      </c>
      <c r="Y56" s="885"/>
    </row>
    <row r="57" spans="1:25" ht="18.75" customHeight="1" x14ac:dyDescent="0.25">
      <c r="A57" s="237"/>
      <c r="H57" s="53" t="s">
        <v>68</v>
      </c>
      <c r="I57" s="849">
        <f>IFERROR(ROUND(E56/I56,6),0)</f>
        <v>3.5E-4</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77</v>
      </c>
      <c r="U58" s="184" t="s">
        <v>66</v>
      </c>
      <c r="V58" s="883" t="s">
        <v>74</v>
      </c>
      <c r="W58" s="883"/>
      <c r="X58" s="884">
        <f>I59</f>
        <v>186156.17</v>
      </c>
      <c r="Y58" s="884"/>
    </row>
    <row r="59" spans="1:25" ht="18.75" customHeight="1" x14ac:dyDescent="0.25">
      <c r="A59" s="848" t="s">
        <v>73</v>
      </c>
      <c r="B59" s="848"/>
      <c r="C59" s="237"/>
      <c r="D59" s="237"/>
      <c r="E59" s="48">
        <f>E28</f>
        <v>77</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4.1399999999999998E-4</v>
      </c>
      <c r="Y59" s="885"/>
    </row>
    <row r="60" spans="1:25" ht="18" customHeight="1" x14ac:dyDescent="0.25">
      <c r="A60" s="237"/>
      <c r="H60" s="53" t="s">
        <v>68</v>
      </c>
      <c r="I60" s="849">
        <f>IFERROR(ROUND(E59/I59,6),0)</f>
        <v>4.1399999999999998E-4</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77</v>
      </c>
      <c r="U61" s="184" t="s">
        <v>66</v>
      </c>
      <c r="V61" s="883" t="s">
        <v>76</v>
      </c>
      <c r="W61" s="883"/>
      <c r="X61" s="884">
        <f>I62</f>
        <v>215016.58000000002</v>
      </c>
      <c r="Y61" s="884"/>
    </row>
    <row r="62" spans="1:25" ht="30.75" customHeight="1" x14ac:dyDescent="0.25">
      <c r="A62" s="848" t="s">
        <v>73</v>
      </c>
      <c r="B62" s="848"/>
      <c r="C62" s="237"/>
      <c r="D62" s="237"/>
      <c r="E62" s="48">
        <f>E28</f>
        <v>77</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3.5799999999999997E-4</v>
      </c>
      <c r="Y62" s="885"/>
    </row>
    <row r="63" spans="1:25" ht="19.5" customHeight="1" x14ac:dyDescent="0.25">
      <c r="A63" s="237"/>
      <c r="H63" s="53" t="s">
        <v>68</v>
      </c>
      <c r="I63" s="849">
        <f>IFERROR(ROUND(E62/I62,6),0)</f>
        <v>3.5799999999999997E-4</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77</v>
      </c>
      <c r="U64" s="184" t="s">
        <v>66</v>
      </c>
      <c r="V64" s="883" t="s">
        <v>165</v>
      </c>
      <c r="W64" s="883"/>
      <c r="X64" s="884">
        <f>I65</f>
        <v>185851.83000000002</v>
      </c>
      <c r="Y64" s="884"/>
    </row>
    <row r="65" spans="1:26" ht="49.5" customHeight="1" x14ac:dyDescent="0.25">
      <c r="A65" s="848" t="s">
        <v>73</v>
      </c>
      <c r="B65" s="848"/>
      <c r="C65" s="237"/>
      <c r="D65" s="237"/>
      <c r="E65" s="48">
        <f>E28</f>
        <v>77</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4.1399999999999998E-4</v>
      </c>
      <c r="Y65" s="885"/>
    </row>
    <row r="66" spans="1:26" ht="19.5" customHeight="1" x14ac:dyDescent="0.25">
      <c r="A66" s="237"/>
      <c r="H66" s="53" t="s">
        <v>68</v>
      </c>
      <c r="I66" s="849">
        <f>IFERROR(ROUND(E65/I65,6),0)</f>
        <v>4.1399999999999998E-4</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3.5799999999999997E-4</v>
      </c>
      <c r="Y67" s="271">
        <f>ROUND(V67*X67,2)</f>
        <v>16930.09</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3.5799999999999997E-4</v>
      </c>
      <c r="J68" s="138">
        <f>ROUND(G68*I68,2)</f>
        <v>16930.09</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3.5799999999999997E-4</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3.5799999999999997E-4</v>
      </c>
      <c r="J70" s="138">
        <f>ROUND(G70*I70,2)</f>
        <v>0</v>
      </c>
      <c r="M70" s="2"/>
      <c r="R70" s="758" t="s">
        <v>167</v>
      </c>
      <c r="S70" s="758"/>
      <c r="T70" s="758"/>
      <c r="U70" s="253"/>
      <c r="V70" s="193">
        <f>G71</f>
        <v>19167881</v>
      </c>
      <c r="W70" s="239" t="s">
        <v>81</v>
      </c>
      <c r="X70" s="176">
        <f>X65</f>
        <v>4.1399999999999998E-4</v>
      </c>
      <c r="Y70" s="266">
        <f t="shared" si="11"/>
        <v>7935.5</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4.1399999999999998E-4</v>
      </c>
      <c r="J71" s="138">
        <f>ROUND(G71*I71,2)</f>
        <v>7935.5</v>
      </c>
      <c r="M71" s="2"/>
      <c r="R71" s="240" t="s">
        <v>168</v>
      </c>
      <c r="S71" s="240"/>
      <c r="T71" s="240"/>
      <c r="U71" s="253"/>
      <c r="V71" s="171">
        <f>G72</f>
        <v>11546889</v>
      </c>
      <c r="W71" s="239" t="s">
        <v>81</v>
      </c>
      <c r="X71" s="176">
        <f>X59</f>
        <v>4.1399999999999998E-4</v>
      </c>
      <c r="Y71" s="266">
        <f t="shared" si="11"/>
        <v>4780.41</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4.1399999999999998E-4</v>
      </c>
      <c r="J72" s="138">
        <f>ROUND(G72*I72,2)</f>
        <v>4780.41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3.5E-4</v>
      </c>
      <c r="J85" s="138">
        <f>ROUND(G85*I85,2)</f>
        <v>94085.7</v>
      </c>
      <c r="K85" s="70"/>
      <c r="L85" s="70"/>
      <c r="M85" s="71"/>
      <c r="N85" s="70"/>
      <c r="O85" s="70"/>
      <c r="P85" s="70"/>
      <c r="Q85" s="70"/>
      <c r="R85" s="758" t="s">
        <v>172</v>
      </c>
      <c r="S85" s="758"/>
      <c r="T85" s="758"/>
      <c r="U85" s="253"/>
      <c r="V85" s="171">
        <f>G85</f>
        <v>268816278</v>
      </c>
      <c r="W85" s="239" t="s">
        <v>81</v>
      </c>
      <c r="X85" s="176">
        <f>X56</f>
        <v>3.3599999999999998E-4</v>
      </c>
      <c r="Y85" s="266">
        <f t="shared" ref="Y85:Y87" si="12">ROUND(V85*X85,2)</f>
        <v>90322.27</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3.5E-4</v>
      </c>
      <c r="J86" s="138">
        <f>ROUND(G86*I86,2)</f>
        <v>0</v>
      </c>
      <c r="K86" s="70"/>
      <c r="L86" s="71"/>
      <c r="M86" s="76"/>
      <c r="N86" s="76"/>
      <c r="O86" s="76"/>
      <c r="P86" s="76"/>
      <c r="Q86" s="70"/>
      <c r="R86" s="758" t="s">
        <v>173</v>
      </c>
      <c r="S86" s="758"/>
      <c r="T86" s="758"/>
      <c r="U86" s="253"/>
      <c r="V86" s="203">
        <f>G86</f>
        <v>0</v>
      </c>
      <c r="W86" s="239" t="s">
        <v>81</v>
      </c>
      <c r="X86" s="176">
        <f>X56</f>
        <v>3.3599999999999998E-4</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3.5799999999999997E-4</v>
      </c>
      <c r="J87" s="62">
        <f>ROUND(G87*I87,2)</f>
        <v>0</v>
      </c>
      <c r="K87" s="77"/>
      <c r="L87" s="70"/>
      <c r="M87" s="71"/>
      <c r="N87" s="70"/>
      <c r="O87" s="70"/>
      <c r="P87" s="70"/>
      <c r="Q87" s="70"/>
      <c r="R87" s="240" t="s">
        <v>174</v>
      </c>
      <c r="S87" s="240"/>
      <c r="T87" s="240"/>
      <c r="U87" s="253"/>
      <c r="V87" s="203">
        <f>G87</f>
        <v>0</v>
      </c>
      <c r="W87" s="239" t="s">
        <v>81</v>
      </c>
      <c r="X87" s="176">
        <f>X53</f>
        <v>3.5799999999999997E-4</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141">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0</v>
      </c>
      <c r="C91" s="245"/>
      <c r="D91" s="915">
        <f>I6</f>
        <v>1.0355000000000001</v>
      </c>
      <c r="E91" s="915"/>
      <c r="F91" s="915"/>
      <c r="G91" s="122">
        <f>'[1]Detail 2025-26 FEFP Second'!AC3</f>
        <v>915.09</v>
      </c>
      <c r="H91" s="47" t="s">
        <v>68</v>
      </c>
      <c r="I91" s="140">
        <f>ROUND(B91*D91*G91,2)</f>
        <v>0</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80.118000000000009</v>
      </c>
      <c r="C92" s="109"/>
      <c r="D92" s="915">
        <f>I6</f>
        <v>1.0355000000000001</v>
      </c>
      <c r="E92" s="915"/>
      <c r="F92" s="915"/>
      <c r="G92" s="122">
        <f>'[1]Detail 2025-26 FEFP Second'!AD3</f>
        <v>917.3</v>
      </c>
      <c r="H92" s="47" t="s">
        <v>68</v>
      </c>
      <c r="I92" s="574">
        <f>ROUND(B92*D92*G92,2)</f>
        <v>76101.22</v>
      </c>
      <c r="K92" s="70"/>
      <c r="L92" s="70"/>
      <c r="M92" s="71"/>
      <c r="N92" s="70"/>
      <c r="O92" s="70"/>
      <c r="P92" s="70"/>
      <c r="Q92" s="70"/>
      <c r="R92" s="207" t="s">
        <v>61</v>
      </c>
      <c r="S92" s="208">
        <f>X16+X17+X20+X23+X26+X27</f>
        <v>77</v>
      </c>
      <c r="T92" s="870">
        <f>X6</f>
        <v>1.0355000000000001</v>
      </c>
      <c r="U92" s="870"/>
      <c r="V92" s="122">
        <f>G92</f>
        <v>917.3</v>
      </c>
      <c r="W92" s="182" t="s">
        <v>68</v>
      </c>
      <c r="X92" s="272">
        <f>ROUND(S92*T92*V92,2)</f>
        <v>73139.539999999994</v>
      </c>
      <c r="Y92" s="170"/>
    </row>
    <row r="93" spans="1:26" ht="18.75" customHeight="1" thickBot="1" x14ac:dyDescent="0.3">
      <c r="A93" s="247" t="s">
        <v>111</v>
      </c>
      <c r="B93" s="109">
        <f>SUM(B90:B92)</f>
        <v>80.118000000000009</v>
      </c>
      <c r="C93" s="109"/>
      <c r="D93" s="109"/>
      <c r="E93" s="867" t="s">
        <v>112</v>
      </c>
      <c r="F93" s="867"/>
      <c r="G93" s="867"/>
      <c r="H93" s="867"/>
      <c r="I93" s="867"/>
      <c r="J93" s="127">
        <f>IF(A1=75,0,I92+I91+I90)</f>
        <v>76101.22</v>
      </c>
      <c r="K93" s="70"/>
      <c r="L93" s="70"/>
      <c r="M93" s="71"/>
      <c r="N93" s="70"/>
      <c r="O93" s="70"/>
      <c r="P93" s="70"/>
      <c r="Q93" s="70"/>
      <c r="R93" s="252" t="s">
        <v>111</v>
      </c>
      <c r="S93" s="210">
        <f>SUM(S90:S92)</f>
        <v>77</v>
      </c>
      <c r="T93" s="874" t="s">
        <v>112</v>
      </c>
      <c r="U93" s="875"/>
      <c r="V93" s="875"/>
      <c r="W93" s="875"/>
      <c r="X93" s="875"/>
      <c r="Y93" s="266">
        <f>IF(R1=75,0,X92+X91+X90)</f>
        <v>73139.539999999994</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68.5</v>
      </c>
      <c r="U96" s="872"/>
      <c r="V96" s="872"/>
      <c r="W96" s="261" t="s">
        <v>117</v>
      </c>
      <c r="X96" s="212">
        <f>I97</f>
        <v>617</v>
      </c>
      <c r="Y96" s="266">
        <f>ROUND(X96*T96,2)</f>
        <v>42264.5</v>
      </c>
    </row>
    <row r="97" spans="1:25" ht="17.25" customHeight="1" x14ac:dyDescent="0.25">
      <c r="A97" s="839" t="s">
        <v>116</v>
      </c>
      <c r="B97" s="839"/>
      <c r="C97" s="279">
        <v>64</v>
      </c>
      <c r="D97" s="279">
        <v>73</v>
      </c>
      <c r="E97" s="942">
        <f>(C97+D97)/2</f>
        <v>68.5</v>
      </c>
      <c r="F97" s="871"/>
      <c r="G97" s="871"/>
      <c r="H97" s="224" t="s">
        <v>117</v>
      </c>
      <c r="I97" s="130">
        <f>IF(A1&gt;67,0,INDEX('[1]Transportation Per Student'!F$1:F$65536,MATCH(A1,'[1]Transportation Per Student'!B$1:B$65536)))</f>
        <v>617</v>
      </c>
      <c r="J97" s="138">
        <f>ROUND(I97*E97,2)</f>
        <v>42264.5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1127073.08</v>
      </c>
      <c r="L107" s="575"/>
      <c r="R107" s="758" t="s">
        <v>125</v>
      </c>
      <c r="S107" s="758"/>
      <c r="T107" s="758"/>
      <c r="U107" s="758"/>
      <c r="V107" s="758"/>
      <c r="W107" s="758"/>
      <c r="X107" s="758"/>
      <c r="Y107" s="730">
        <f>SUM(Y106,Y105,Y97,Y96,Y93,Y86,Y85,Y84,Y70,Y69,Y67,Y33,Y71,Y50,Y87,Y83)</f>
        <v>663748.51</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1094936.48</v>
      </c>
      <c r="R109" s="170" t="s">
        <v>180</v>
      </c>
      <c r="S109" s="170"/>
      <c r="T109" s="170"/>
      <c r="U109" s="170"/>
      <c r="V109" s="170"/>
      <c r="W109" s="170"/>
      <c r="X109" s="170"/>
      <c r="Y109" s="731">
        <f>Y107-Y38</f>
        <v>632862.59</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v>1</v>
      </c>
      <c r="J111" s="137">
        <f>Y109</f>
        <v>632862.59</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601"/>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c r="I114" s="717">
        <f>IF(I111=1,J111,J109)</f>
        <v>632862.59</v>
      </c>
      <c r="J114" s="718">
        <f>ROUND(IF(E28=0,0,IF(E28&gt;250,-(((250/E28)*I114)*IF(H114="H",0.02,0.05)),IF(H114="H",-0.02*I114,-0.05*I114))),2)</f>
        <v>-31643.13</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1095429.9500000002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Payments'!R81</f>
        <v>-181784.41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913645.54000000015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91364.55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1F80-EBBF-476F-8041-5F2637D0FB76}">
  <dimension ref="A1:Z207"/>
  <sheetViews>
    <sheetView topLeftCell="A105" workbookViewId="0">
      <selection activeCell="J115" sqref="J11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448</v>
      </c>
      <c r="B2" s="102"/>
      <c r="C2" s="102"/>
      <c r="D2" s="102"/>
      <c r="E2" s="100"/>
      <c r="F2" s="100"/>
      <c r="G2" s="100"/>
      <c r="H2" s="100"/>
      <c r="I2" s="100"/>
      <c r="J2" s="100"/>
      <c r="K2" s="6"/>
      <c r="L2" s="6"/>
      <c r="M2" s="6"/>
      <c r="N2" s="6"/>
      <c r="O2" s="6"/>
      <c r="P2" s="6"/>
      <c r="Q2" s="6"/>
      <c r="R2" s="920" t="str">
        <f>Revenue_Estimate_Worksheet_for___________Charter_School</f>
        <v>Revenue Estimate Worksheet: Imagine Schools - Chancellor Campus - 3381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Second'!$C$1:$C$65536,MATCH('3381'!$A$1,'[1]Detail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Second'!$D$1:$D$65536,MATCH('3381'!$A$1,'[1]Detail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177.79</v>
      </c>
      <c r="D12" s="410">
        <v>0</v>
      </c>
      <c r="E12" s="824">
        <f t="shared" ref="E12:E27" si="0">IF($D$28=0,C12*2,C12+D12)</f>
        <v>355.58</v>
      </c>
      <c r="F12" s="824"/>
      <c r="G12" s="825">
        <v>1.1080000000000001</v>
      </c>
      <c r="H12" s="825"/>
      <c r="I12" s="577">
        <f>ROUND(E12*G12,4)</f>
        <v>393.98259999999999</v>
      </c>
      <c r="J12" s="578">
        <f t="shared" ref="J12:J27" si="1">ROUND(ROUND(ROUND(I12*$E$6,4)*($I$6),2)*(MAX($I$7,1)),2)</f>
        <v>2191854.15</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32</v>
      </c>
      <c r="D13" s="414">
        <v>0</v>
      </c>
      <c r="E13" s="832">
        <f t="shared" si="0"/>
        <v>64</v>
      </c>
      <c r="F13" s="832"/>
      <c r="G13" s="833">
        <v>1.1080000000000001</v>
      </c>
      <c r="H13" s="833"/>
      <c r="I13" s="577">
        <f t="shared" ref="I13:I27" si="2">ROUND(E13*G13,4)</f>
        <v>70.912000000000006</v>
      </c>
      <c r="J13" s="578">
        <f t="shared" si="1"/>
        <v>394506.67</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227.64</v>
      </c>
      <c r="D14" s="414">
        <v>0</v>
      </c>
      <c r="E14" s="832">
        <f t="shared" si="0"/>
        <v>455.28</v>
      </c>
      <c r="F14" s="832"/>
      <c r="G14" s="833">
        <v>1</v>
      </c>
      <c r="H14" s="833"/>
      <c r="I14" s="577">
        <f t="shared" si="2"/>
        <v>455.28</v>
      </c>
      <c r="J14" s="578">
        <f>ROUND(ROUND(ROUND(I14*$E$6,4)*($I$6),2)*(MAX($I$7,1)),2)</f>
        <v>2532871.65</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57.5</v>
      </c>
      <c r="D15" s="414">
        <v>0</v>
      </c>
      <c r="E15" s="832">
        <f t="shared" si="0"/>
        <v>115</v>
      </c>
      <c r="F15" s="832"/>
      <c r="G15" s="833">
        <v>1</v>
      </c>
      <c r="H15" s="833"/>
      <c r="I15" s="577">
        <f t="shared" si="2"/>
        <v>115</v>
      </c>
      <c r="J15" s="578">
        <f t="shared" si="1"/>
        <v>639782.64</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25.71</v>
      </c>
      <c r="D24" s="414">
        <v>0</v>
      </c>
      <c r="E24" s="832">
        <f t="shared" si="0"/>
        <v>51.42</v>
      </c>
      <c r="F24" s="832"/>
      <c r="G24" s="833">
        <v>1.165</v>
      </c>
      <c r="H24" s="833"/>
      <c r="I24" s="577">
        <f t="shared" si="2"/>
        <v>59.904299999999999</v>
      </c>
      <c r="J24" s="578">
        <f t="shared" si="1"/>
        <v>333267.23</v>
      </c>
      <c r="M24" s="2"/>
      <c r="R24" s="756" t="s">
        <v>32</v>
      </c>
      <c r="S24" s="756"/>
      <c r="T24" s="897">
        <f t="shared" si="3"/>
        <v>0</v>
      </c>
      <c r="U24" s="897"/>
      <c r="V24" s="896">
        <v>1</v>
      </c>
      <c r="W24" s="896"/>
      <c r="X24" s="156">
        <f t="shared" si="4"/>
        <v>0</v>
      </c>
      <c r="Y24" s="266">
        <f t="shared" si="6"/>
        <v>0</v>
      </c>
    </row>
    <row r="25" spans="1:25" x14ac:dyDescent="0.25">
      <c r="A25" s="757" t="s">
        <v>33</v>
      </c>
      <c r="B25" s="757"/>
      <c r="C25" s="414">
        <v>2.86</v>
      </c>
      <c r="D25" s="414">
        <v>0</v>
      </c>
      <c r="E25" s="832">
        <f t="shared" si="0"/>
        <v>5.72</v>
      </c>
      <c r="F25" s="832"/>
      <c r="G25" s="833">
        <v>1.165</v>
      </c>
      <c r="H25" s="833"/>
      <c r="I25" s="577">
        <f t="shared" si="2"/>
        <v>6.6638000000000002</v>
      </c>
      <c r="J25" s="578">
        <f t="shared" si="1"/>
        <v>37072.9</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712">
        <f>SUM(C12:C27)</f>
        <v>523.5</v>
      </c>
      <c r="D28" s="126">
        <f>SUM(D12:D27)</f>
        <v>0</v>
      </c>
      <c r="E28" s="936">
        <f>SUM(E12:E27)</f>
        <v>1047</v>
      </c>
      <c r="F28" s="936"/>
      <c r="G28" s="838"/>
      <c r="H28" s="838"/>
      <c r="I28" s="23">
        <f>SUM(I12:I27)</f>
        <v>1101.7426999999998</v>
      </c>
      <c r="J28" s="127">
        <f>SUM(J12:J27)</f>
        <v>6129355.2400000002</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1101.7426999999998</v>
      </c>
      <c r="H33" s="838" t="s">
        <v>45</v>
      </c>
      <c r="I33" s="838"/>
      <c r="J33" s="32">
        <f>SUM(J32,J28)</f>
        <v>6129355.2400000002</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6129355.2400000002</v>
      </c>
      <c r="H36" s="223" t="s">
        <v>49</v>
      </c>
      <c r="I36" s="38">
        <v>6.6699999999999995E-2</v>
      </c>
      <c r="J36" s="131">
        <f>ROUND(G36*I36,2)</f>
        <v>408827.99</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6129355.2400000002</v>
      </c>
      <c r="H37" s="223" t="s">
        <v>49</v>
      </c>
      <c r="I37" s="38">
        <v>5.4000000000000003E-3</v>
      </c>
      <c r="J37" s="131">
        <f>ROUND(G37*I37,2)</f>
        <v>33098.519999999997</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441926.51</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27.5</v>
      </c>
      <c r="D41" s="414">
        <v>0</v>
      </c>
      <c r="E41" s="847">
        <f t="shared" ref="E41:E49" si="7">IF($D$50=0,C41*2,C41+D41)</f>
        <v>55</v>
      </c>
      <c r="F41" s="847"/>
      <c r="G41" s="223" t="s">
        <v>59</v>
      </c>
      <c r="H41" s="223">
        <v>251</v>
      </c>
      <c r="I41" s="136">
        <f>INDEX('[1]111-112-113 ADDITIONAL FUND'!D$1:D$65536,MATCH($A$1,'[1]111-112-113 ADDITIONAL FUND'!A$1:A$65536))</f>
        <v>1047</v>
      </c>
      <c r="J41" s="46">
        <f t="shared" ref="J41:J49" si="8">ROUND(E41*I41,2)</f>
        <v>57585</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4.5</v>
      </c>
      <c r="D42" s="414">
        <v>0</v>
      </c>
      <c r="E42" s="847">
        <f t="shared" si="7"/>
        <v>9</v>
      </c>
      <c r="F42" s="847"/>
      <c r="G42" s="223" t="s">
        <v>59</v>
      </c>
      <c r="H42" s="223">
        <v>252</v>
      </c>
      <c r="I42" s="136">
        <f>INDEX('[1]111-112-113 ADDITIONAL FUND'!E$1:E$65536,MATCH($A$1,'[1]111-112-113 ADDITIONAL FUND'!A$1:A$65536))</f>
        <v>3380</v>
      </c>
      <c r="J42" s="46">
        <f t="shared" si="8"/>
        <v>30420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55.5</v>
      </c>
      <c r="D44" s="414">
        <v>0</v>
      </c>
      <c r="E44" s="847">
        <f t="shared" si="7"/>
        <v>111</v>
      </c>
      <c r="F44" s="847"/>
      <c r="G44" s="47" t="s">
        <v>60</v>
      </c>
      <c r="H44" s="223">
        <v>251</v>
      </c>
      <c r="I44" s="136">
        <f>INDEX('[1]111-112-113 ADDITIONAL FUND'!G$1:G$65536,MATCH($A$1,'[1]111-112-113 ADDITIONAL FUND'!A$1:A$65536))</f>
        <v>1173</v>
      </c>
      <c r="J44" s="137">
        <f t="shared" si="8"/>
        <v>130203</v>
      </c>
      <c r="L44" s="3"/>
      <c r="M44" s="2"/>
      <c r="Q44" s="4"/>
      <c r="R44" s="906"/>
      <c r="S44" s="906"/>
      <c r="T44" s="888"/>
      <c r="U44" s="888"/>
      <c r="V44" s="182" t="s">
        <v>60</v>
      </c>
      <c r="W44" s="239">
        <v>251</v>
      </c>
      <c r="X44" s="134">
        <f t="shared" si="9"/>
        <v>1173</v>
      </c>
      <c r="Y44" s="269">
        <f t="shared" si="10"/>
        <v>0</v>
      </c>
    </row>
    <row r="45" spans="1:25" x14ac:dyDescent="0.25">
      <c r="A45" s="846"/>
      <c r="B45" s="846"/>
      <c r="C45" s="414">
        <v>2</v>
      </c>
      <c r="D45" s="414">
        <v>0</v>
      </c>
      <c r="E45" s="847">
        <f t="shared" si="7"/>
        <v>4</v>
      </c>
      <c r="F45" s="847"/>
      <c r="G45" s="47" t="s">
        <v>60</v>
      </c>
      <c r="H45" s="223">
        <v>252</v>
      </c>
      <c r="I45" s="136">
        <f>INDEX('[1]111-112-113 ADDITIONAL FUND'!H$1:H$65536,MATCH($A$1,'[1]111-112-113 ADDITIONAL FUND'!A$1:A$65536))</f>
        <v>3506</v>
      </c>
      <c r="J45" s="46">
        <f t="shared" si="8"/>
        <v>14024</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89.5</v>
      </c>
      <c r="D50" s="584">
        <f>SUM(D41:D49)</f>
        <v>0</v>
      </c>
      <c r="E50" s="853">
        <f>SUM(E41:E49)</f>
        <v>179</v>
      </c>
      <c r="F50" s="853"/>
      <c r="G50" s="839" t="s">
        <v>63</v>
      </c>
      <c r="H50" s="839"/>
      <c r="I50" s="839"/>
      <c r="J50" s="276">
        <f>SUM(J41:J49)</f>
        <v>232232</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1047</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4.8630000000000001E-3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1101.7426999999998</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4.81E-3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1047</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5.6239999999999997E-3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1047</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4.8690000000000001E-3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1047</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5.6340000000000001E-3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4.8690000000000001E-3</v>
      </c>
      <c r="J68" s="138">
        <f>ROUND(G68*I68,2)</f>
        <v>230258.65</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4.8630000000000001E-3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5.6340000000000001E-3</v>
      </c>
      <c r="J71" s="138">
        <f>ROUND(G71*I71,2)</f>
        <v>107991.84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5.6239999999999997E-3</v>
      </c>
      <c r="J72" s="138">
        <f>ROUND(G72*I72,2)</f>
        <v>64939.7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4.81E-3</v>
      </c>
      <c r="J85" s="138">
        <f>ROUND(G85*I85,2)</f>
        <v>1293006.3</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4.81E-3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4.8630000000000001E-3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524.7989</v>
      </c>
      <c r="C90" s="245"/>
      <c r="D90" s="915">
        <f>I6</f>
        <v>1.0355000000000001</v>
      </c>
      <c r="E90" s="915"/>
      <c r="F90" s="915"/>
      <c r="G90" s="122">
        <f>'[1]Detail 2025-26 FEFP Second'!AB3</f>
        <v>958.42</v>
      </c>
      <c r="H90" s="47" t="s">
        <v>68</v>
      </c>
      <c r="I90" s="734">
        <f>ROUND(B90*D90*G90,2)</f>
        <v>520833.47</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576.94380000000001</v>
      </c>
      <c r="C91" s="245"/>
      <c r="D91" s="915">
        <f>I6</f>
        <v>1.0355000000000001</v>
      </c>
      <c r="E91" s="915"/>
      <c r="F91" s="915"/>
      <c r="G91" s="122">
        <f>'[1]Detail 2025-26 FEFP Second'!AC3</f>
        <v>915.09</v>
      </c>
      <c r="H91" s="47" t="s">
        <v>68</v>
      </c>
      <c r="I91" s="734">
        <f>ROUND(B91*D91*G91,2)</f>
        <v>546697.92000000004</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1101.7427</v>
      </c>
      <c r="C93" s="109"/>
      <c r="D93" s="109"/>
      <c r="E93" s="867" t="s">
        <v>112</v>
      </c>
      <c r="F93" s="867"/>
      <c r="G93" s="867"/>
      <c r="H93" s="867"/>
      <c r="I93" s="867"/>
      <c r="J93" s="127">
        <f>IF(A1=75,0,I92+I91+I90)</f>
        <v>1067531.3900000001</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90</v>
      </c>
      <c r="D97" s="279">
        <v>101</v>
      </c>
      <c r="E97" s="942">
        <f>(C97+D97)/2</f>
        <v>95.5</v>
      </c>
      <c r="F97" s="871"/>
      <c r="G97" s="871"/>
      <c r="H97" s="224" t="s">
        <v>117</v>
      </c>
      <c r="I97" s="130">
        <f>IF(A1&gt;67,0,INDEX('[1]Transportation Per Student'!F$1:F$65536,MATCH(A1,'[1]Transportation Per Student'!B$1:B$65536)))</f>
        <v>617</v>
      </c>
      <c r="J97" s="138">
        <f>ROUND(I97*E97,2)</f>
        <v>58923.5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9184238.6199999992</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8742312.1099999994</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v>0</v>
      </c>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601"/>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t="s">
        <v>436</v>
      </c>
      <c r="I114" s="717">
        <f>IF(I111=1,J111,J109)</f>
        <v>8742312.1099999994</v>
      </c>
      <c r="J114" s="718">
        <f>ROUND(IF(E28=0,0,IF(E28&gt;250,-(((250/E28)*I114)*IF(H114="H",0.02,0.05)),IF(H114="H",-0.02*I114,-0.05*I114))),2)</f>
        <v>-41749.339999999997</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9142489.2799999993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Payments'!R82</f>
        <v>-1513766.3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7628722.9799999995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762872.3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133096.9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9939-EC71-4FF6-8991-4A56F4519FA9}">
  <dimension ref="A1:Z207"/>
  <sheetViews>
    <sheetView topLeftCell="A103" workbookViewId="0">
      <selection activeCell="J45" sqref="J4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448</v>
      </c>
      <c r="B2" s="102"/>
      <c r="C2" s="102"/>
      <c r="D2" s="102"/>
      <c r="E2" s="100"/>
      <c r="F2" s="100"/>
      <c r="G2" s="100"/>
      <c r="H2" s="100"/>
      <c r="I2" s="100"/>
      <c r="J2" s="100"/>
      <c r="K2" s="6"/>
      <c r="L2" s="6"/>
      <c r="M2" s="6"/>
      <c r="N2" s="6"/>
      <c r="O2" s="6"/>
      <c r="P2" s="6"/>
      <c r="Q2" s="6"/>
      <c r="R2" s="920" t="str">
        <f>Revenue_Estimate_Worksheet_for___________Charter_School</f>
        <v>Revenue Estimate Worksheet: Imagine Schools - Chancellor Campus - 3381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Second'!$C$1:$C$65536,MATCH('3382'!$A$1,'[1]Detail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Second'!$D$1:$D$65536,MATCH('3382'!$A$1,'[1]Detail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40.93</v>
      </c>
      <c r="D12" s="410">
        <v>0</v>
      </c>
      <c r="E12" s="824">
        <f t="shared" ref="E12:E27" si="0">IF($D$28=0,C12*2,C12+D12)</f>
        <v>81.86</v>
      </c>
      <c r="F12" s="824"/>
      <c r="G12" s="825">
        <v>1.1080000000000001</v>
      </c>
      <c r="H12" s="825"/>
      <c r="I12" s="577">
        <f>ROUND(E12*G12,4)</f>
        <v>90.700900000000004</v>
      </c>
      <c r="J12" s="578">
        <f t="shared" ref="J12:J27" si="1">ROUND(ROUND(ROUND(I12*$E$6,4)*($I$6),2)*(MAX($I$7,1)),2)</f>
        <v>504598.79</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7.5</v>
      </c>
      <c r="D13" s="414">
        <v>0</v>
      </c>
      <c r="E13" s="832">
        <f t="shared" si="0"/>
        <v>15</v>
      </c>
      <c r="F13" s="832"/>
      <c r="G13" s="833">
        <v>1.1080000000000001</v>
      </c>
      <c r="H13" s="833"/>
      <c r="I13" s="577">
        <f t="shared" ref="I13:I27" si="2">ROUND(E13*G13,4)</f>
        <v>16.62</v>
      </c>
      <c r="J13" s="578">
        <f t="shared" si="1"/>
        <v>92462.5</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65.63</v>
      </c>
      <c r="D14" s="414">
        <v>0</v>
      </c>
      <c r="E14" s="832">
        <f t="shared" si="0"/>
        <v>131.26</v>
      </c>
      <c r="F14" s="832"/>
      <c r="G14" s="833">
        <v>1</v>
      </c>
      <c r="H14" s="833"/>
      <c r="I14" s="577">
        <f t="shared" si="2"/>
        <v>131.26</v>
      </c>
      <c r="J14" s="578">
        <f>ROUND(ROUND(ROUND(I14*$E$6,4)*($I$6),2)*(MAX($I$7,1)),2)</f>
        <v>730242.34</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16</v>
      </c>
      <c r="D15" s="414">
        <v>0</v>
      </c>
      <c r="E15" s="832">
        <f t="shared" si="0"/>
        <v>32</v>
      </c>
      <c r="F15" s="832"/>
      <c r="G15" s="833">
        <v>1</v>
      </c>
      <c r="H15" s="833"/>
      <c r="I15" s="577">
        <f t="shared" si="2"/>
        <v>32</v>
      </c>
      <c r="J15" s="578">
        <f t="shared" si="1"/>
        <v>178026.47</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0.5</v>
      </c>
      <c r="D18" s="414">
        <v>0</v>
      </c>
      <c r="E18" s="832">
        <f t="shared" si="0"/>
        <v>1</v>
      </c>
      <c r="F18" s="832"/>
      <c r="G18" s="833">
        <v>3.609</v>
      </c>
      <c r="H18" s="833"/>
      <c r="I18" s="577">
        <f t="shared" si="2"/>
        <v>3.609</v>
      </c>
      <c r="J18" s="578">
        <f t="shared" si="1"/>
        <v>20078.05</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4.07</v>
      </c>
      <c r="D24" s="414">
        <v>0</v>
      </c>
      <c r="E24" s="832">
        <f t="shared" si="0"/>
        <v>8.14</v>
      </c>
      <c r="F24" s="832"/>
      <c r="G24" s="833">
        <v>1.165</v>
      </c>
      <c r="H24" s="833"/>
      <c r="I24" s="577">
        <f t="shared" si="2"/>
        <v>9.4831000000000003</v>
      </c>
      <c r="J24" s="578">
        <f t="shared" si="1"/>
        <v>52757.59</v>
      </c>
      <c r="M24" s="2"/>
      <c r="R24" s="756" t="s">
        <v>32</v>
      </c>
      <c r="S24" s="756"/>
      <c r="T24" s="897">
        <f t="shared" si="3"/>
        <v>0</v>
      </c>
      <c r="U24" s="897"/>
      <c r="V24" s="896">
        <v>1</v>
      </c>
      <c r="W24" s="896"/>
      <c r="X24" s="156">
        <f t="shared" si="4"/>
        <v>0</v>
      </c>
      <c r="Y24" s="266">
        <f t="shared" si="6"/>
        <v>0</v>
      </c>
    </row>
    <row r="25" spans="1:25" x14ac:dyDescent="0.25">
      <c r="A25" s="757" t="s">
        <v>33</v>
      </c>
      <c r="B25" s="757"/>
      <c r="C25" s="414">
        <v>0.87</v>
      </c>
      <c r="D25" s="414">
        <v>0</v>
      </c>
      <c r="E25" s="832">
        <f t="shared" si="0"/>
        <v>1.74</v>
      </c>
      <c r="F25" s="832"/>
      <c r="G25" s="833">
        <v>1.165</v>
      </c>
      <c r="H25" s="833"/>
      <c r="I25" s="577">
        <f t="shared" si="2"/>
        <v>2.0270999999999999</v>
      </c>
      <c r="J25" s="578">
        <f t="shared" si="1"/>
        <v>11277.42</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26">
        <f>SUM(C12:C27)</f>
        <v>135.5</v>
      </c>
      <c r="D28" s="126">
        <f>SUM(D12:D27)</f>
        <v>0</v>
      </c>
      <c r="E28" s="837">
        <f>SUM(E12:E27)</f>
        <v>271</v>
      </c>
      <c r="F28" s="837"/>
      <c r="G28" s="838"/>
      <c r="H28" s="838"/>
      <c r="I28" s="23">
        <f>SUM(I12:I27)</f>
        <v>285.70009999999996</v>
      </c>
      <c r="J28" s="127">
        <f>SUM(J12:J27)</f>
        <v>1589443.16</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285.70009999999996</v>
      </c>
      <c r="H33" s="838" t="s">
        <v>45</v>
      </c>
      <c r="I33" s="838"/>
      <c r="J33" s="32">
        <f>SUM(J32,J28)</f>
        <v>1589443.16</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1589443.16</v>
      </c>
      <c r="H36" s="223" t="s">
        <v>49</v>
      </c>
      <c r="I36" s="38">
        <v>6.6699999999999995E-2</v>
      </c>
      <c r="J36" s="131">
        <f>ROUND(G36*I36,2)</f>
        <v>106015.86</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1589443.16</v>
      </c>
      <c r="H37" s="223" t="s">
        <v>49</v>
      </c>
      <c r="I37" s="38">
        <v>5.4000000000000003E-3</v>
      </c>
      <c r="J37" s="131">
        <f>ROUND(G37*I37,2)</f>
        <v>8582.99</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114598.85</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5.5</v>
      </c>
      <c r="D41" s="414">
        <v>0</v>
      </c>
      <c r="E41" s="847">
        <f t="shared" ref="E41:E49" si="7">IF($D$50=0,C41*2,C41+D41)</f>
        <v>11</v>
      </c>
      <c r="F41" s="847"/>
      <c r="G41" s="223" t="s">
        <v>59</v>
      </c>
      <c r="H41" s="223">
        <v>251</v>
      </c>
      <c r="I41" s="136">
        <f>INDEX('[1]111-112-113 ADDITIONAL FUND'!D$1:D$65536,MATCH($A$1,'[1]111-112-113 ADDITIONAL FUND'!A$1:A$65536))</f>
        <v>1047</v>
      </c>
      <c r="J41" s="734">
        <f t="shared" ref="J41:J49" si="8">ROUND(E41*I41,2)</f>
        <v>11517</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1</v>
      </c>
      <c r="D42" s="414">
        <v>0</v>
      </c>
      <c r="E42" s="847">
        <f t="shared" si="7"/>
        <v>2</v>
      </c>
      <c r="F42" s="847"/>
      <c r="G42" s="223" t="s">
        <v>59</v>
      </c>
      <c r="H42" s="223">
        <v>252</v>
      </c>
      <c r="I42" s="136">
        <f>INDEX('[1]111-112-113 ADDITIONAL FUND'!E$1:E$65536,MATCH($A$1,'[1]111-112-113 ADDITIONAL FUND'!A$1:A$65536))</f>
        <v>3380</v>
      </c>
      <c r="J42" s="734">
        <f t="shared" si="8"/>
        <v>6760</v>
      </c>
      <c r="M42" s="2"/>
      <c r="R42" s="906"/>
      <c r="S42" s="906"/>
      <c r="T42" s="907"/>
      <c r="U42" s="907"/>
      <c r="V42" s="239" t="s">
        <v>59</v>
      </c>
      <c r="W42" s="239">
        <v>252</v>
      </c>
      <c r="X42" s="134">
        <f t="shared" si="9"/>
        <v>3380</v>
      </c>
      <c r="Y42" s="269">
        <f t="shared" ref="Y42:Y49" si="10">ROUND(T42*X42,2)</f>
        <v>0</v>
      </c>
    </row>
    <row r="43" spans="1:25" x14ac:dyDescent="0.25">
      <c r="A43" s="846"/>
      <c r="B43" s="846"/>
      <c r="C43" s="414">
        <v>1</v>
      </c>
      <c r="D43" s="414">
        <v>0</v>
      </c>
      <c r="E43" s="847">
        <f t="shared" si="7"/>
        <v>2</v>
      </c>
      <c r="F43" s="847"/>
      <c r="G43" s="223" t="s">
        <v>59</v>
      </c>
      <c r="H43" s="223">
        <v>253</v>
      </c>
      <c r="I43" s="136">
        <f>INDEX('[1]111-112-113 ADDITIONAL FUND'!F$1:F$65536,MATCH($A$1,'[1]111-112-113 ADDITIONAL FUND'!A$1:A$65536))</f>
        <v>6896</v>
      </c>
      <c r="J43" s="734">
        <f t="shared" si="8"/>
        <v>13792</v>
      </c>
      <c r="M43" s="2"/>
      <c r="R43" s="906"/>
      <c r="S43" s="906"/>
      <c r="T43" s="888"/>
      <c r="U43" s="888"/>
      <c r="V43" s="239" t="s">
        <v>59</v>
      </c>
      <c r="W43" s="239">
        <v>253</v>
      </c>
      <c r="X43" s="134">
        <f t="shared" si="9"/>
        <v>6896</v>
      </c>
      <c r="Y43" s="269">
        <f t="shared" si="10"/>
        <v>0</v>
      </c>
    </row>
    <row r="44" spans="1:25" ht="20.25" customHeight="1" x14ac:dyDescent="0.25">
      <c r="A44" s="846"/>
      <c r="B44" s="846"/>
      <c r="C44" s="414">
        <v>15</v>
      </c>
      <c r="D44" s="414">
        <v>0</v>
      </c>
      <c r="E44" s="847">
        <f t="shared" si="7"/>
        <v>30</v>
      </c>
      <c r="F44" s="847"/>
      <c r="G44" s="47" t="s">
        <v>60</v>
      </c>
      <c r="H44" s="223">
        <v>251</v>
      </c>
      <c r="I44" s="136">
        <f>INDEX('[1]111-112-113 ADDITIONAL FUND'!G$1:G$65536,MATCH($A$1,'[1]111-112-113 ADDITIONAL FUND'!A$1:A$65536))</f>
        <v>1173</v>
      </c>
      <c r="J44" s="137">
        <f t="shared" si="8"/>
        <v>35190</v>
      </c>
      <c r="L44" s="3"/>
      <c r="M44" s="2"/>
      <c r="Q44" s="4"/>
      <c r="R44" s="906"/>
      <c r="S44" s="906"/>
      <c r="T44" s="888"/>
      <c r="U44" s="888"/>
      <c r="V44" s="182" t="s">
        <v>60</v>
      </c>
      <c r="W44" s="239">
        <v>251</v>
      </c>
      <c r="X44" s="134">
        <f t="shared" si="9"/>
        <v>1173</v>
      </c>
      <c r="Y44" s="269">
        <f t="shared" si="10"/>
        <v>0</v>
      </c>
    </row>
    <row r="45" spans="1:25" x14ac:dyDescent="0.25">
      <c r="A45" s="846"/>
      <c r="B45" s="846"/>
      <c r="C45" s="414">
        <v>1</v>
      </c>
      <c r="D45" s="414">
        <v>0</v>
      </c>
      <c r="E45" s="847">
        <f t="shared" si="7"/>
        <v>2</v>
      </c>
      <c r="F45" s="847"/>
      <c r="G45" s="47" t="s">
        <v>60</v>
      </c>
      <c r="H45" s="223">
        <v>252</v>
      </c>
      <c r="I45" s="136">
        <f>INDEX('[1]111-112-113 ADDITIONAL FUND'!H$1:H$65536,MATCH($A$1,'[1]111-112-113 ADDITIONAL FUND'!A$1:A$65536))</f>
        <v>3506</v>
      </c>
      <c r="J45" s="734">
        <f t="shared" si="8"/>
        <v>7012</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23.5</v>
      </c>
      <c r="D50" s="584">
        <f>SUM(D41:D49)</f>
        <v>0</v>
      </c>
      <c r="E50" s="853">
        <f>SUM(E41:E49)</f>
        <v>47</v>
      </c>
      <c r="F50" s="853"/>
      <c r="G50" s="839" t="s">
        <v>63</v>
      </c>
      <c r="H50" s="839"/>
      <c r="I50" s="839"/>
      <c r="J50" s="276">
        <f>SUM(J41:J49)</f>
        <v>74271</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271</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1.2589999999999999E-3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285.70009999999996</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1.2470000000000001E-3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271</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1.456E-3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271</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1.2600000000000001E-3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271</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1.4580000000000001E-3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1.2600000000000001E-3</v>
      </c>
      <c r="J68" s="138">
        <f>ROUND(G68*I68,2)</f>
        <v>59586.34</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1.2589999999999999E-3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1.4580000000000001E-3</v>
      </c>
      <c r="J71" s="138">
        <f>ROUND(G71*I71,2)</f>
        <v>27946.77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1.456E-3</v>
      </c>
      <c r="J72" s="138">
        <f>ROUND(G72*I72,2)</f>
        <v>16812.27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1.2470000000000001E-3</v>
      </c>
      <c r="J85" s="138">
        <f>ROUND(G85*I85,2)</f>
        <v>335213.90000000002</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1.2470000000000001E-3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1.2589999999999999E-3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120.41300000000001</v>
      </c>
      <c r="C90" s="245"/>
      <c r="D90" s="915">
        <f>I6</f>
        <v>1.0355000000000001</v>
      </c>
      <c r="E90" s="915"/>
      <c r="F90" s="915"/>
      <c r="G90" s="122">
        <f>'[1]Detail 2025-26 FEFP Second'!AB3</f>
        <v>958.42</v>
      </c>
      <c r="H90" s="47" t="s">
        <v>68</v>
      </c>
      <c r="I90" s="734">
        <f>ROUND(B90*D90*G90,2)</f>
        <v>119503.15</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165.28709999999998</v>
      </c>
      <c r="C91" s="245"/>
      <c r="D91" s="915">
        <f>I6</f>
        <v>1.0355000000000001</v>
      </c>
      <c r="E91" s="915"/>
      <c r="F91" s="915"/>
      <c r="G91" s="122">
        <f>'[1]Detail 2025-26 FEFP Second'!AC3</f>
        <v>915.09</v>
      </c>
      <c r="H91" s="47" t="s">
        <v>68</v>
      </c>
      <c r="I91" s="734">
        <f>ROUND(B91*D91*G91,2)</f>
        <v>156622.04</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285.70010000000002</v>
      </c>
      <c r="C93" s="109"/>
      <c r="D93" s="109"/>
      <c r="E93" s="867" t="s">
        <v>112</v>
      </c>
      <c r="F93" s="867"/>
      <c r="G93" s="867"/>
      <c r="H93" s="867"/>
      <c r="I93" s="867"/>
      <c r="J93" s="127">
        <f>IF(A1=75,0,I92+I91+I90)</f>
        <v>276125.19</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263</v>
      </c>
      <c r="D97" s="279">
        <v>254</v>
      </c>
      <c r="E97" s="942">
        <f>(C97+D97)/2</f>
        <v>258.5</v>
      </c>
      <c r="F97" s="871"/>
      <c r="G97" s="871"/>
      <c r="H97" s="224" t="s">
        <v>117</v>
      </c>
      <c r="I97" s="130">
        <f>IF(A1&gt;67,0,INDEX('[1]Transportation Per Student'!F$1:F$65536,MATCH(A1,'[1]Transportation Per Student'!B$1:B$65536)))</f>
        <v>617</v>
      </c>
      <c r="J97" s="138">
        <f>ROUND(I97*E97,2)</f>
        <v>159494.5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2538893.13</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2424294.2799999998</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v>0</v>
      </c>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c r="I114" s="717">
        <f>IF(I111=1,J111,J109)</f>
        <v>2424294.2799999998</v>
      </c>
      <c r="J114" s="718">
        <f>ROUND(IF(E28=0,0,IF(E28&gt;250,-(((250/E28)*I114)*IF(H114="H",0.02,0.05)),IF(H114="H",-0.02*I114,-0.05*I114))),2)</f>
        <v>-111821.69</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2427071.44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Payments'!R83</f>
        <v>-401988.65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2025082.79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202508.28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9393.02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0D20-9D20-4687-8A60-D4D664693457}">
  <dimension ref="A1:Z207"/>
  <sheetViews>
    <sheetView workbookViewId="0">
      <selection activeCell="G120" sqref="G12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449</v>
      </c>
      <c r="B2" s="102"/>
      <c r="C2" s="102"/>
      <c r="D2" s="102"/>
      <c r="E2" s="100"/>
      <c r="F2" s="100"/>
      <c r="G2" s="100"/>
      <c r="H2" s="100"/>
      <c r="I2" s="100"/>
      <c r="J2" s="100"/>
      <c r="K2" s="6"/>
      <c r="L2" s="6"/>
      <c r="M2" s="6"/>
      <c r="N2" s="6"/>
      <c r="O2" s="6"/>
      <c r="P2" s="6"/>
      <c r="Q2" s="6"/>
      <c r="R2" s="920" t="str">
        <f>Revenue_Estimate_Worksheet_for___________Charter_School</f>
        <v>Revenue Estimate Worksheet: Seagull Academy for Independent Living - 3391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Second'!$C$1:$C$65536,MATCH('3391'!$A$1,'[1]Detail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Second'!$D$1:$D$65536,MATCH('3391'!$A$1,'[1]Detail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0</v>
      </c>
      <c r="D28" s="126">
        <f>SUM(D12:D27)</f>
        <v>0</v>
      </c>
      <c r="E28" s="837">
        <f>SUM(E12:E27)</f>
        <v>0</v>
      </c>
      <c r="F28" s="837"/>
      <c r="G28" s="838"/>
      <c r="H28" s="838"/>
      <c r="I28" s="23">
        <f>SUM(I12:I27)</f>
        <v>0</v>
      </c>
      <c r="J28" s="127">
        <f>SUM(J12:J27)</f>
        <v>0</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0</v>
      </c>
      <c r="H33" s="838" t="s">
        <v>45</v>
      </c>
      <c r="I33" s="838"/>
      <c r="J33" s="32">
        <f>SUM(J32,J28)</f>
        <v>0</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0</v>
      </c>
      <c r="H36" s="223" t="s">
        <v>49</v>
      </c>
      <c r="I36" s="38">
        <v>6.6699999999999995E-2</v>
      </c>
      <c r="J36" s="131">
        <f>ROUND(G36*I36,2)</f>
        <v>0</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0</v>
      </c>
      <c r="H37" s="223" t="s">
        <v>49</v>
      </c>
      <c r="I37" s="38">
        <v>5.4000000000000003E-3</v>
      </c>
      <c r="J37" s="131">
        <f>ROUND(G37*I37,2)</f>
        <v>0</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0</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46">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0</v>
      </c>
      <c r="D50" s="584">
        <f>SUM(D41:D49)</f>
        <v>0</v>
      </c>
      <c r="E50" s="853">
        <f>SUM(E41:E49)</f>
        <v>0</v>
      </c>
      <c r="F50" s="853"/>
      <c r="G50" s="839" t="s">
        <v>63</v>
      </c>
      <c r="H50" s="839"/>
      <c r="I50" s="839"/>
      <c r="J50" s="276">
        <f>SUM(J41:J49)</f>
        <v>0</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0</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0</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0</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0</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0</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0</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0</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0</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0</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0</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0</v>
      </c>
      <c r="J68" s="138">
        <f>ROUND(G68*I68,2)</f>
        <v>0</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0</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0</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141">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0</v>
      </c>
      <c r="C91" s="245"/>
      <c r="D91" s="915">
        <f>I6</f>
        <v>1.0355000000000001</v>
      </c>
      <c r="E91" s="915"/>
      <c r="F91" s="915"/>
      <c r="G91" s="122">
        <f>'[1]Detail 2025-26 FEFP Second'!AC3</f>
        <v>915.09</v>
      </c>
      <c r="H91" s="47" t="s">
        <v>68</v>
      </c>
      <c r="I91" s="140">
        <f>ROUND(B91*D91*G91,2)</f>
        <v>0</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0</v>
      </c>
      <c r="C93" s="109"/>
      <c r="D93" s="109"/>
      <c r="E93" s="867" t="s">
        <v>112</v>
      </c>
      <c r="F93" s="867"/>
      <c r="G93" s="867"/>
      <c r="H93" s="867"/>
      <c r="I93" s="867"/>
      <c r="J93" s="127">
        <f>IF(A1=75,0,I92+I91+I90)</f>
        <v>0</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0</v>
      </c>
      <c r="D97" s="279">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0</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0</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v>0</v>
      </c>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Payments'!R84</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AC9E-96AC-474C-9DCC-C563D3696D69}">
  <dimension ref="A1:Z207"/>
  <sheetViews>
    <sheetView topLeftCell="A100" workbookViewId="0">
      <selection activeCell="H114" sqref="H11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450</v>
      </c>
      <c r="B2" s="102"/>
      <c r="C2" s="102"/>
      <c r="D2" s="102"/>
      <c r="E2" s="100"/>
      <c r="F2" s="100"/>
      <c r="G2" s="100"/>
      <c r="H2" s="100"/>
      <c r="I2" s="100"/>
      <c r="J2" s="100"/>
      <c r="K2" s="6"/>
      <c r="L2" s="6"/>
      <c r="M2" s="6"/>
      <c r="N2" s="6"/>
      <c r="O2" s="6"/>
      <c r="P2" s="6"/>
      <c r="Q2" s="6"/>
      <c r="R2" s="920" t="str">
        <f>Revenue_Estimate_Worksheet_for___________Charter_School</f>
        <v>Revenue Estimate Worksheet: Montessori Academy of Early Enrichment - 3394</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Second'!$C$1:$C$65536,MATCH('3394'!$A$1,'[1]Detail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Second'!$D$1:$D$65536,MATCH('3394'!$A$1,'[1]Detail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40.119999999999997</v>
      </c>
      <c r="D12" s="410">
        <v>0</v>
      </c>
      <c r="E12" s="824">
        <f t="shared" ref="E12:E27" si="0">IF($D$28=0,C12*2,C12+D12)</f>
        <v>80.239999999999995</v>
      </c>
      <c r="F12" s="824"/>
      <c r="G12" s="825">
        <v>1.1080000000000001</v>
      </c>
      <c r="H12" s="825"/>
      <c r="I12" s="577">
        <f>ROUND(E12*G12,4)</f>
        <v>88.905900000000003</v>
      </c>
      <c r="J12" s="578">
        <f t="shared" ref="J12:J27" si="1">ROUND(ROUND(ROUND(I12*$E$6,4)*($I$6),2)*(MAX($I$7,1)),2)</f>
        <v>494612.62</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5</v>
      </c>
      <c r="D13" s="414">
        <v>0</v>
      </c>
      <c r="E13" s="832">
        <f t="shared" si="0"/>
        <v>10</v>
      </c>
      <c r="F13" s="832"/>
      <c r="G13" s="833">
        <v>1.1080000000000001</v>
      </c>
      <c r="H13" s="833"/>
      <c r="I13" s="577">
        <f t="shared" ref="I13:I27" si="2">ROUND(E13*G13,4)</f>
        <v>11.08</v>
      </c>
      <c r="J13" s="578">
        <f t="shared" si="1"/>
        <v>61641.67</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17</v>
      </c>
      <c r="D14" s="414">
        <v>0</v>
      </c>
      <c r="E14" s="832">
        <f t="shared" si="0"/>
        <v>34</v>
      </c>
      <c r="F14" s="832"/>
      <c r="G14" s="833">
        <v>1</v>
      </c>
      <c r="H14" s="833"/>
      <c r="I14" s="577">
        <f t="shared" si="2"/>
        <v>34</v>
      </c>
      <c r="J14" s="578">
        <f>ROUND(ROUND(ROUND(I14*$E$6,4)*($I$6),2)*(MAX($I$7,1)),2)</f>
        <v>189153.13</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2.5</v>
      </c>
      <c r="D15" s="414">
        <v>0</v>
      </c>
      <c r="E15" s="832">
        <f t="shared" si="0"/>
        <v>5</v>
      </c>
      <c r="F15" s="832"/>
      <c r="G15" s="833">
        <v>1</v>
      </c>
      <c r="H15" s="833"/>
      <c r="I15" s="577">
        <f t="shared" si="2"/>
        <v>5</v>
      </c>
      <c r="J15" s="578">
        <f t="shared" si="1"/>
        <v>27816.639999999999</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26.379999999999995</v>
      </c>
      <c r="D24" s="414">
        <v>0</v>
      </c>
      <c r="E24" s="832">
        <f t="shared" si="0"/>
        <v>52.759999999999991</v>
      </c>
      <c r="F24" s="832"/>
      <c r="G24" s="833">
        <v>1.165</v>
      </c>
      <c r="H24" s="833"/>
      <c r="I24" s="577">
        <f t="shared" si="2"/>
        <v>61.465400000000002</v>
      </c>
      <c r="J24" s="578">
        <f t="shared" si="1"/>
        <v>341952.14</v>
      </c>
      <c r="M24" s="2"/>
      <c r="R24" s="756" t="s">
        <v>32</v>
      </c>
      <c r="S24" s="756"/>
      <c r="T24" s="897">
        <f t="shared" si="3"/>
        <v>0</v>
      </c>
      <c r="U24" s="897"/>
      <c r="V24" s="896">
        <v>1</v>
      </c>
      <c r="W24" s="896"/>
      <c r="X24" s="156">
        <f t="shared" si="4"/>
        <v>0</v>
      </c>
      <c r="Y24" s="266">
        <f t="shared" si="6"/>
        <v>0</v>
      </c>
    </row>
    <row r="25" spans="1:25" x14ac:dyDescent="0.25">
      <c r="A25" s="757" t="s">
        <v>33</v>
      </c>
      <c r="B25" s="757"/>
      <c r="C25" s="414">
        <v>5</v>
      </c>
      <c r="D25" s="414">
        <v>0</v>
      </c>
      <c r="E25" s="832">
        <f t="shared" si="0"/>
        <v>10</v>
      </c>
      <c r="F25" s="832"/>
      <c r="G25" s="833">
        <v>1.165</v>
      </c>
      <c r="H25" s="833"/>
      <c r="I25" s="577">
        <f t="shared" si="2"/>
        <v>11.65</v>
      </c>
      <c r="J25" s="578">
        <f t="shared" si="1"/>
        <v>64812.76</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26">
        <f>SUM(C12:C27)</f>
        <v>96</v>
      </c>
      <c r="D28" s="126">
        <f>SUM(D12:D27)</f>
        <v>0</v>
      </c>
      <c r="E28" s="837">
        <f>SUM(E12:E27)</f>
        <v>192</v>
      </c>
      <c r="F28" s="837"/>
      <c r="G28" s="838"/>
      <c r="H28" s="838"/>
      <c r="I28" s="23">
        <f>SUM(I12:I27)</f>
        <v>212.10130000000001</v>
      </c>
      <c r="J28" s="127">
        <f>SUM(J12:J27)</f>
        <v>1179988.9600000002</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212.10130000000001</v>
      </c>
      <c r="H33" s="838" t="s">
        <v>45</v>
      </c>
      <c r="I33" s="838"/>
      <c r="J33" s="32">
        <f>SUM(J32,J28)</f>
        <v>1179988.9600000002</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1179988.9600000002</v>
      </c>
      <c r="H36" s="223" t="s">
        <v>49</v>
      </c>
      <c r="I36" s="38">
        <v>6.6699999999999995E-2</v>
      </c>
      <c r="J36" s="131">
        <f>ROUND(G36*I36,2)</f>
        <v>78705.259999999995</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1179988.9600000002</v>
      </c>
      <c r="H37" s="223" t="s">
        <v>49</v>
      </c>
      <c r="I37" s="38">
        <v>5.4000000000000003E-3</v>
      </c>
      <c r="J37" s="131">
        <f>ROUND(G37*I37,2)</f>
        <v>6371.94</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85077.2</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5</v>
      </c>
      <c r="D41" s="414">
        <v>0</v>
      </c>
      <c r="E41" s="847">
        <f t="shared" ref="E41:E49" si="7">IF($D$50=0,C41*2,C41+D41)</f>
        <v>10</v>
      </c>
      <c r="F41" s="847"/>
      <c r="G41" s="223" t="s">
        <v>59</v>
      </c>
      <c r="H41" s="223">
        <v>251</v>
      </c>
      <c r="I41" s="136">
        <f>INDEX('[1]111-112-113 ADDITIONAL FUND'!D$1:D$65536,MATCH($A$1,'[1]111-112-113 ADDITIONAL FUND'!A$1:A$65536))</f>
        <v>1047</v>
      </c>
      <c r="J41" s="734">
        <f t="shared" ref="J41:J49" si="8">ROUND(E41*I41,2)</f>
        <v>10470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734">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2</v>
      </c>
      <c r="D44" s="414">
        <v>0</v>
      </c>
      <c r="E44" s="847">
        <f t="shared" si="7"/>
        <v>4</v>
      </c>
      <c r="F44" s="847"/>
      <c r="G44" s="47" t="s">
        <v>60</v>
      </c>
      <c r="H44" s="223">
        <v>251</v>
      </c>
      <c r="I44" s="136">
        <f>INDEX('[1]111-112-113 ADDITIONAL FUND'!G$1:G$65536,MATCH($A$1,'[1]111-112-113 ADDITIONAL FUND'!A$1:A$65536))</f>
        <v>1173</v>
      </c>
      <c r="J44" s="734">
        <f t="shared" si="8"/>
        <v>4692</v>
      </c>
      <c r="L44" s="3"/>
      <c r="M44" s="2"/>
      <c r="Q44" s="4"/>
      <c r="R44" s="906"/>
      <c r="S44" s="906"/>
      <c r="T44" s="888"/>
      <c r="U44" s="888"/>
      <c r="V44" s="182" t="s">
        <v>60</v>
      </c>
      <c r="W44" s="239">
        <v>251</v>
      </c>
      <c r="X44" s="134">
        <f t="shared" si="9"/>
        <v>1173</v>
      </c>
      <c r="Y44" s="269">
        <f t="shared" si="10"/>
        <v>0</v>
      </c>
    </row>
    <row r="45" spans="1:25" x14ac:dyDescent="0.25">
      <c r="A45" s="846"/>
      <c r="B45" s="846"/>
      <c r="C45" s="414">
        <v>0.5</v>
      </c>
      <c r="D45" s="414">
        <v>0</v>
      </c>
      <c r="E45" s="847">
        <f t="shared" si="7"/>
        <v>1</v>
      </c>
      <c r="F45" s="847"/>
      <c r="G45" s="47" t="s">
        <v>60</v>
      </c>
      <c r="H45" s="223">
        <v>252</v>
      </c>
      <c r="I45" s="136">
        <f>INDEX('[1]111-112-113 ADDITIONAL FUND'!H$1:H$65536,MATCH($A$1,'[1]111-112-113 ADDITIONAL FUND'!A$1:A$65536))</f>
        <v>3506</v>
      </c>
      <c r="J45" s="734">
        <f t="shared" si="8"/>
        <v>3506</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734">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734">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7.5</v>
      </c>
      <c r="D50" s="584">
        <f>SUM(D41:D49)</f>
        <v>0</v>
      </c>
      <c r="E50" s="853">
        <f>SUM(E41:E49)</f>
        <v>15</v>
      </c>
      <c r="F50" s="853"/>
      <c r="G50" s="839" t="s">
        <v>63</v>
      </c>
      <c r="H50" s="839"/>
      <c r="I50" s="839"/>
      <c r="J50" s="276">
        <f>SUM(J41:J49)</f>
        <v>18668</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192</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8.92E-4</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212.10130000000001</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9.2599999999999996E-4</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192</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1.031E-3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192</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8.9300000000000002E-4</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192</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1.0330000000000001E-3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8.9300000000000002E-4</v>
      </c>
      <c r="J68" s="138">
        <f>ROUND(G68*I68,2)</f>
        <v>42230.64</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8.92E-4</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1.0330000000000001E-3</v>
      </c>
      <c r="J71" s="138">
        <f>ROUND(G71*I71,2)</f>
        <v>19800.419999999998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1.031E-3</v>
      </c>
      <c r="J72" s="138">
        <f>ROUND(G72*I72,2)</f>
        <v>11904.84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9.2599999999999996E-4</v>
      </c>
      <c r="J85" s="138">
        <f>ROUND(G85*I85,2)</f>
        <v>248923.87</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9.2599999999999996E-4</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8.92E-4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161.4513</v>
      </c>
      <c r="C90" s="245"/>
      <c r="D90" s="915">
        <f>I6</f>
        <v>1.0355000000000001</v>
      </c>
      <c r="E90" s="915"/>
      <c r="F90" s="915"/>
      <c r="G90" s="122">
        <f>'[1]Detail 2025-26 FEFP Second'!AB3</f>
        <v>958.42</v>
      </c>
      <c r="H90" s="47" t="s">
        <v>68</v>
      </c>
      <c r="I90" s="734">
        <f>ROUND(B90*D90*G90,2)</f>
        <v>160231.35999999999</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50.65</v>
      </c>
      <c r="C91" s="245"/>
      <c r="D91" s="915">
        <f>I6</f>
        <v>1.0355000000000001</v>
      </c>
      <c r="E91" s="915"/>
      <c r="F91" s="915"/>
      <c r="G91" s="122">
        <f>'[1]Detail 2025-26 FEFP Second'!AC3</f>
        <v>915.09</v>
      </c>
      <c r="H91" s="47" t="s">
        <v>68</v>
      </c>
      <c r="I91" s="734">
        <f>ROUND(B91*D91*G91,2)</f>
        <v>47994.71</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73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212.10130000000001</v>
      </c>
      <c r="C93" s="109"/>
      <c r="D93" s="109"/>
      <c r="E93" s="867" t="s">
        <v>112</v>
      </c>
      <c r="F93" s="867"/>
      <c r="G93" s="867"/>
      <c r="H93" s="867"/>
      <c r="I93" s="867"/>
      <c r="J93" s="127">
        <f>IF(A1=75,0,I92+I91+I90)</f>
        <v>208226.06999999998</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9</v>
      </c>
      <c r="D97" s="279">
        <v>10</v>
      </c>
      <c r="E97" s="942">
        <f>(C97+D97)/2</f>
        <v>9.5</v>
      </c>
      <c r="F97" s="871"/>
      <c r="G97" s="871"/>
      <c r="H97" s="224" t="s">
        <v>117</v>
      </c>
      <c r="I97" s="130">
        <f>IF(A1&gt;67,0,INDEX('[1]Transportation Per Student'!F$1:F$65536,MATCH(A1,'[1]Transportation Per Student'!B$1:B$65536)))</f>
        <v>617</v>
      </c>
      <c r="J97" s="138">
        <f>ROUND(I97*E97,2)</f>
        <v>5861.5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1735604.3</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1650527.1</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v>0</v>
      </c>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1650527.1</v>
      </c>
      <c r="J114" s="296">
        <f>ROUND(IF(E28=0,0,IF(E28&gt;250,-(((250/E28)*I114)*IF(H114="H",0.02,0.05)),IF(H114="H",-0.02*I114,-0.05*I114))),2)</f>
        <v>-82526.36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1653077.94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Payments'!R85</f>
        <v>-274504.20999999996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1378573.73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137857.37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45D7-63B0-406D-95BB-AFD47F5F9045}">
  <dimension ref="A1:Z207"/>
  <sheetViews>
    <sheetView topLeftCell="A105" workbookViewId="0">
      <selection activeCell="L99" sqref="L9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451</v>
      </c>
      <c r="B2" s="102"/>
      <c r="C2" s="102"/>
      <c r="D2" s="102"/>
      <c r="E2" s="100"/>
      <c r="F2" s="100"/>
      <c r="G2" s="100"/>
      <c r="H2" s="100"/>
      <c r="I2" s="100"/>
      <c r="J2" s="100"/>
      <c r="K2" s="6"/>
      <c r="L2" s="6"/>
      <c r="M2" s="6"/>
      <c r="N2" s="6"/>
      <c r="O2" s="6"/>
      <c r="P2" s="6"/>
      <c r="Q2" s="6"/>
      <c r="R2" s="920" t="str">
        <f>Revenue_Estimate_Worksheet_for___________Charter_School</f>
        <v>Revenue Estimate Worksheet: Somerset Academy JFK Charter School - 3395</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Second'!$C$1:$C$65536,MATCH('3395'!$A$1,'[1]Detail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Second'!$D$1:$D$65536,MATCH('3395'!$A$1,'[1]Detail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75</v>
      </c>
      <c r="D12" s="410">
        <v>0</v>
      </c>
      <c r="E12" s="824">
        <f t="shared" ref="E12:E27" si="0">IF($D$28=0,C12*2,C12+D12)</f>
        <v>150</v>
      </c>
      <c r="F12" s="824"/>
      <c r="G12" s="825">
        <v>1.1080000000000001</v>
      </c>
      <c r="H12" s="825"/>
      <c r="I12" s="577">
        <f>ROUND(E12*G12,4)</f>
        <v>166.2</v>
      </c>
      <c r="J12" s="578">
        <f t="shared" ref="J12:J27" si="1">ROUND(ROUND(ROUND(I12*$E$6,4)*($I$6),2)*(MAX($I$7,1)),2)</f>
        <v>924625</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8</v>
      </c>
      <c r="D13" s="414">
        <v>0</v>
      </c>
      <c r="E13" s="832">
        <f t="shared" si="0"/>
        <v>16</v>
      </c>
      <c r="F13" s="832"/>
      <c r="G13" s="833">
        <v>1.1080000000000001</v>
      </c>
      <c r="H13" s="833"/>
      <c r="I13" s="577">
        <f t="shared" ref="I13:I27" si="2">ROUND(E13*G13,4)</f>
        <v>17.728000000000002</v>
      </c>
      <c r="J13" s="578">
        <f t="shared" si="1"/>
        <v>98626.67</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101.7</v>
      </c>
      <c r="D14" s="414">
        <v>0</v>
      </c>
      <c r="E14" s="832">
        <f t="shared" si="0"/>
        <v>203.4</v>
      </c>
      <c r="F14" s="832"/>
      <c r="G14" s="833">
        <v>1</v>
      </c>
      <c r="H14" s="833"/>
      <c r="I14" s="577">
        <f t="shared" si="2"/>
        <v>203.4</v>
      </c>
      <c r="J14" s="578">
        <f>ROUND(ROUND(ROUND(I14*$E$6,4)*($I$6),2)*(MAX($I$7,1)),2)</f>
        <v>1131580.77</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17.5</v>
      </c>
      <c r="D15" s="414">
        <v>0</v>
      </c>
      <c r="E15" s="832">
        <f t="shared" si="0"/>
        <v>35</v>
      </c>
      <c r="F15" s="832"/>
      <c r="G15" s="833">
        <v>1</v>
      </c>
      <c r="H15" s="833"/>
      <c r="I15" s="577">
        <f t="shared" si="2"/>
        <v>35</v>
      </c>
      <c r="J15" s="578">
        <f t="shared" si="1"/>
        <v>194716.46</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43.5</v>
      </c>
      <c r="D24" s="414">
        <v>0</v>
      </c>
      <c r="E24" s="832">
        <f t="shared" si="0"/>
        <v>87</v>
      </c>
      <c r="F24" s="832"/>
      <c r="G24" s="833">
        <v>1.165</v>
      </c>
      <c r="H24" s="833"/>
      <c r="I24" s="577">
        <f t="shared" si="2"/>
        <v>101.355</v>
      </c>
      <c r="J24" s="578">
        <f t="shared" si="1"/>
        <v>563871.04</v>
      </c>
      <c r="M24" s="2"/>
      <c r="R24" s="756" t="s">
        <v>32</v>
      </c>
      <c r="S24" s="756"/>
      <c r="T24" s="897">
        <f t="shared" si="3"/>
        <v>0</v>
      </c>
      <c r="U24" s="897"/>
      <c r="V24" s="896">
        <v>1</v>
      </c>
      <c r="W24" s="896"/>
      <c r="X24" s="156">
        <f t="shared" si="4"/>
        <v>0</v>
      </c>
      <c r="Y24" s="266">
        <f t="shared" si="6"/>
        <v>0</v>
      </c>
    </row>
    <row r="25" spans="1:25" x14ac:dyDescent="0.25">
      <c r="A25" s="757" t="s">
        <v>33</v>
      </c>
      <c r="B25" s="757"/>
      <c r="C25" s="414">
        <v>11.81</v>
      </c>
      <c r="D25" s="414">
        <v>0</v>
      </c>
      <c r="E25" s="832">
        <f t="shared" si="0"/>
        <v>23.62</v>
      </c>
      <c r="F25" s="832"/>
      <c r="G25" s="833">
        <v>1.165</v>
      </c>
      <c r="H25" s="833"/>
      <c r="I25" s="577">
        <f t="shared" si="2"/>
        <v>27.517299999999999</v>
      </c>
      <c r="J25" s="578">
        <f t="shared" si="1"/>
        <v>153087.75</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257.51</v>
      </c>
      <c r="D28" s="126">
        <f>SUM(D12:D27)</f>
        <v>0</v>
      </c>
      <c r="E28" s="837">
        <f>SUM(E12:E27)</f>
        <v>515.02</v>
      </c>
      <c r="F28" s="837"/>
      <c r="G28" s="838"/>
      <c r="H28" s="838"/>
      <c r="I28" s="23">
        <f>SUM(I12:I27)</f>
        <v>551.20029999999997</v>
      </c>
      <c r="J28" s="127">
        <f>SUM(J12:J27)</f>
        <v>3066507.69</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551.20029999999997</v>
      </c>
      <c r="H33" s="838" t="s">
        <v>45</v>
      </c>
      <c r="I33" s="838"/>
      <c r="J33" s="32">
        <f>SUM(J32,J28)</f>
        <v>3066507.69</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3066507.69</v>
      </c>
      <c r="H36" s="223" t="s">
        <v>49</v>
      </c>
      <c r="I36" s="38">
        <v>6.6699999999999995E-2</v>
      </c>
      <c r="J36" s="131">
        <f>ROUND(G36*I36,2)</f>
        <v>204536.06</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3066507.69</v>
      </c>
      <c r="H37" s="223" t="s">
        <v>49</v>
      </c>
      <c r="I37" s="38">
        <v>5.4000000000000003E-3</v>
      </c>
      <c r="J37" s="131">
        <f>ROUND(G37*I37,2)</f>
        <v>16559.14</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221095.2</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7.5</v>
      </c>
      <c r="D41" s="414">
        <v>0</v>
      </c>
      <c r="E41" s="847">
        <f t="shared" ref="E41:E49" si="7">IF($D$50=0,C41*2,C41+D41)</f>
        <v>15</v>
      </c>
      <c r="F41" s="847"/>
      <c r="G41" s="223" t="s">
        <v>59</v>
      </c>
      <c r="H41" s="223">
        <v>251</v>
      </c>
      <c r="I41" s="136">
        <f>INDEX('[1]111-112-113 ADDITIONAL FUND'!D$1:D$65536,MATCH($A$1,'[1]111-112-113 ADDITIONAL FUND'!A$1:A$65536))</f>
        <v>1047</v>
      </c>
      <c r="J41" s="734">
        <f t="shared" ref="J41:J49" si="8">ROUND(E41*I41,2)</f>
        <v>15705</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0.5</v>
      </c>
      <c r="D42" s="414">
        <v>0</v>
      </c>
      <c r="E42" s="847">
        <f t="shared" si="7"/>
        <v>1</v>
      </c>
      <c r="F42" s="847"/>
      <c r="G42" s="223" t="s">
        <v>59</v>
      </c>
      <c r="H42" s="223">
        <v>252</v>
      </c>
      <c r="I42" s="136">
        <f>INDEX('[1]111-112-113 ADDITIONAL FUND'!E$1:E$65536,MATCH($A$1,'[1]111-112-113 ADDITIONAL FUND'!A$1:A$65536))</f>
        <v>3380</v>
      </c>
      <c r="J42" s="734">
        <f t="shared" si="8"/>
        <v>3380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16.5</v>
      </c>
      <c r="D44" s="414">
        <v>0</v>
      </c>
      <c r="E44" s="847">
        <f t="shared" si="7"/>
        <v>33</v>
      </c>
      <c r="F44" s="847"/>
      <c r="G44" s="47" t="s">
        <v>60</v>
      </c>
      <c r="H44" s="223">
        <v>251</v>
      </c>
      <c r="I44" s="136">
        <f>INDEX('[1]111-112-113 ADDITIONAL FUND'!G$1:G$65536,MATCH($A$1,'[1]111-112-113 ADDITIONAL FUND'!A$1:A$65536))</f>
        <v>1173</v>
      </c>
      <c r="J44" s="734">
        <f t="shared" si="8"/>
        <v>38709</v>
      </c>
      <c r="L44" s="3"/>
      <c r="M44" s="2"/>
      <c r="Q44" s="4"/>
      <c r="R44" s="906"/>
      <c r="S44" s="906"/>
      <c r="T44" s="888"/>
      <c r="U44" s="888"/>
      <c r="V44" s="182" t="s">
        <v>60</v>
      </c>
      <c r="W44" s="239">
        <v>251</v>
      </c>
      <c r="X44" s="134">
        <f t="shared" si="9"/>
        <v>1173</v>
      </c>
      <c r="Y44" s="269">
        <f t="shared" si="10"/>
        <v>0</v>
      </c>
    </row>
    <row r="45" spans="1:25" x14ac:dyDescent="0.25">
      <c r="A45" s="846"/>
      <c r="B45" s="846"/>
      <c r="C45" s="414">
        <v>1</v>
      </c>
      <c r="D45" s="414">
        <v>0</v>
      </c>
      <c r="E45" s="847">
        <f t="shared" si="7"/>
        <v>2</v>
      </c>
      <c r="F45" s="847"/>
      <c r="G45" s="47" t="s">
        <v>60</v>
      </c>
      <c r="H45" s="223">
        <v>252</v>
      </c>
      <c r="I45" s="136">
        <f>INDEX('[1]111-112-113 ADDITIONAL FUND'!H$1:H$65536,MATCH($A$1,'[1]111-112-113 ADDITIONAL FUND'!A$1:A$65536))</f>
        <v>3506</v>
      </c>
      <c r="J45" s="734">
        <f t="shared" si="8"/>
        <v>7012</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734">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734">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25.5</v>
      </c>
      <c r="D50" s="584">
        <f>SUM(D41:D49)</f>
        <v>0</v>
      </c>
      <c r="E50" s="853">
        <f>SUM(E41:E49)</f>
        <v>51</v>
      </c>
      <c r="F50" s="853"/>
      <c r="G50" s="839" t="s">
        <v>63</v>
      </c>
      <c r="H50" s="839"/>
      <c r="I50" s="839"/>
      <c r="J50" s="276">
        <f>SUM(J41:J49)</f>
        <v>64806</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515.02</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2.392E-3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551.20029999999997</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2.4060000000000002E-3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515.02</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2.7669999999999999E-3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515.02</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2.395E-3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515.02</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2.771E-3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2.395E-3</v>
      </c>
      <c r="J68" s="138">
        <f>ROUND(G68*I68,2)</f>
        <v>113261.34</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2.392E-3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2.771E-3</v>
      </c>
      <c r="J71" s="138">
        <f>ROUND(G71*I71,2)</f>
        <v>53114.2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2.7669999999999999E-3</v>
      </c>
      <c r="J72" s="138">
        <f>ROUND(G72*I72,2)</f>
        <v>31950.240000000002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2.4060000000000002E-3</v>
      </c>
      <c r="J85" s="138">
        <f>ROUND(G85*I85,2)</f>
        <v>646771.96</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2.4060000000000002E-3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2.392E-3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285.28300000000002</v>
      </c>
      <c r="C90" s="245"/>
      <c r="D90" s="915">
        <f>I6</f>
        <v>1.0355000000000001</v>
      </c>
      <c r="E90" s="915"/>
      <c r="F90" s="915"/>
      <c r="G90" s="122">
        <f>'[1]Detail 2025-26 FEFP Second'!AB3</f>
        <v>958.42</v>
      </c>
      <c r="H90" s="47" t="s">
        <v>68</v>
      </c>
      <c r="I90" s="734">
        <f>ROUND(B90*D90*G90,2)</f>
        <v>283127.38</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265.91730000000001</v>
      </c>
      <c r="C91" s="245"/>
      <c r="D91" s="915">
        <f>I6</f>
        <v>1.0355000000000001</v>
      </c>
      <c r="E91" s="915"/>
      <c r="F91" s="915"/>
      <c r="G91" s="122">
        <f>'[1]Detail 2025-26 FEFP Second'!AC3</f>
        <v>915.09</v>
      </c>
      <c r="H91" s="47" t="s">
        <v>68</v>
      </c>
      <c r="I91" s="734">
        <f>ROUND(B91*D91*G91,2)</f>
        <v>251976.77</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73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551.20029999999997</v>
      </c>
      <c r="C93" s="109"/>
      <c r="D93" s="109"/>
      <c r="E93" s="867" t="s">
        <v>112</v>
      </c>
      <c r="F93" s="867"/>
      <c r="G93" s="867"/>
      <c r="H93" s="867"/>
      <c r="I93" s="867"/>
      <c r="J93" s="127">
        <f>IF(A1=75,0,I92+I91+I90)</f>
        <v>535104.15</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17</v>
      </c>
      <c r="D97" s="279">
        <v>18</v>
      </c>
      <c r="E97" s="942">
        <f>(C97+D97)/2</f>
        <v>17.5</v>
      </c>
      <c r="F97" s="871"/>
      <c r="G97" s="871"/>
      <c r="H97" s="224" t="s">
        <v>117</v>
      </c>
      <c r="I97" s="130">
        <f>IF(A1&gt;67,0,INDEX('[1]Transportation Per Student'!F$1:F$65536,MATCH(A1,'[1]Transportation Per Student'!B$1:B$65536)))</f>
        <v>617</v>
      </c>
      <c r="J97" s="138">
        <f>ROUND(I97*E97,2)</f>
        <v>10797.5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4522313.08</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4301217.88</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v>0</v>
      </c>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4301217.88</v>
      </c>
      <c r="J114" s="296">
        <f>ROUND(IF(E28=0,0,IF(E28&gt;250,-(((250/E28)*I114)*IF(H113="H",0.02,0.05)),IF(H113="H",-0.02*I114,-0.05*I114))),2)</f>
        <v>-104394.44</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4417918.6399999997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Payments'!R86</f>
        <v>-732504.3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3685414.34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368541.43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110666.45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9E22-647E-4303-BB2B-0912D6B33EC4}">
  <dimension ref="A1:Z207"/>
  <sheetViews>
    <sheetView topLeftCell="A104" workbookViewId="0">
      <selection activeCell="J127" sqref="J12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452</v>
      </c>
      <c r="B2" s="102"/>
      <c r="C2" s="102"/>
      <c r="D2" s="102"/>
      <c r="E2" s="100"/>
      <c r="F2" s="100"/>
      <c r="G2" s="100"/>
      <c r="H2" s="100"/>
      <c r="I2" s="100"/>
      <c r="J2" s="100"/>
      <c r="K2" s="6"/>
      <c r="L2" s="6"/>
      <c r="M2" s="6"/>
      <c r="N2" s="6"/>
      <c r="O2" s="6"/>
      <c r="P2" s="6"/>
      <c r="Q2" s="6"/>
      <c r="R2" s="920" t="str">
        <f>Revenue_Estimate_Worksheet_for___________Charter_School</f>
        <v>Revenue Estimate Worksheet: G-Star School of the Arts for Motion Pictures &amp; Television - 3396</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Second'!$C$1:$C$65536,MATCH('3396'!$A$1,'[1]Detail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Second'!$D$1:$D$65536,MATCH('3396'!$A$1,'[1]Detail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61.03</v>
      </c>
      <c r="D14" s="414">
        <v>0</v>
      </c>
      <c r="E14" s="832">
        <f t="shared" si="0"/>
        <v>122.06</v>
      </c>
      <c r="F14" s="832"/>
      <c r="G14" s="833">
        <v>1</v>
      </c>
      <c r="H14" s="833"/>
      <c r="I14" s="577">
        <f t="shared" si="2"/>
        <v>122.06</v>
      </c>
      <c r="J14" s="578">
        <f>ROUND(ROUND(ROUND(I14*$E$6,4)*($I$6),2)*(MAX($I$7,1)),2)</f>
        <v>679059.73</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8</v>
      </c>
      <c r="D15" s="414">
        <v>0</v>
      </c>
      <c r="E15" s="832">
        <f t="shared" si="0"/>
        <v>16</v>
      </c>
      <c r="F15" s="832"/>
      <c r="G15" s="833">
        <v>1</v>
      </c>
      <c r="H15" s="833"/>
      <c r="I15" s="577">
        <f t="shared" si="2"/>
        <v>16</v>
      </c>
      <c r="J15" s="578">
        <f t="shared" si="1"/>
        <v>89013.24</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210.2</v>
      </c>
      <c r="D16" s="414">
        <v>0</v>
      </c>
      <c r="E16" s="832">
        <f t="shared" si="0"/>
        <v>420.4</v>
      </c>
      <c r="F16" s="832"/>
      <c r="G16" s="833">
        <v>0.97199999999999998</v>
      </c>
      <c r="H16" s="833"/>
      <c r="I16" s="577">
        <f t="shared" si="2"/>
        <v>408.62880000000001</v>
      </c>
      <c r="J16" s="578">
        <f t="shared" si="1"/>
        <v>2273335.7599999998</v>
      </c>
      <c r="M16" s="2"/>
      <c r="R16" s="756" t="s">
        <v>24</v>
      </c>
      <c r="S16" s="756"/>
      <c r="T16" s="897">
        <f t="shared" si="3"/>
        <v>0</v>
      </c>
      <c r="U16" s="897"/>
      <c r="V16" s="896">
        <v>1</v>
      </c>
      <c r="W16" s="896"/>
      <c r="X16" s="156">
        <f t="shared" si="4"/>
        <v>0</v>
      </c>
      <c r="Y16" s="266">
        <f t="shared" si="6"/>
        <v>0</v>
      </c>
    </row>
    <row r="17" spans="1:25" x14ac:dyDescent="0.25">
      <c r="A17" s="757" t="s">
        <v>25</v>
      </c>
      <c r="B17" s="757"/>
      <c r="C17" s="414">
        <v>37.5</v>
      </c>
      <c r="D17" s="414">
        <v>0</v>
      </c>
      <c r="E17" s="832">
        <f t="shared" si="0"/>
        <v>75</v>
      </c>
      <c r="F17" s="832"/>
      <c r="G17" s="833">
        <v>0.97199999999999998</v>
      </c>
      <c r="H17" s="833"/>
      <c r="I17" s="577">
        <f t="shared" si="2"/>
        <v>72.900000000000006</v>
      </c>
      <c r="J17" s="578">
        <f t="shared" si="1"/>
        <v>405566.56</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4.79</v>
      </c>
      <c r="D25" s="414">
        <v>0</v>
      </c>
      <c r="E25" s="832">
        <f t="shared" si="0"/>
        <v>9.58</v>
      </c>
      <c r="F25" s="832"/>
      <c r="G25" s="833">
        <v>1.165</v>
      </c>
      <c r="H25" s="833"/>
      <c r="I25" s="577">
        <f t="shared" si="2"/>
        <v>11.1607</v>
      </c>
      <c r="J25" s="578">
        <f t="shared" si="1"/>
        <v>62090.63</v>
      </c>
      <c r="M25" s="2"/>
      <c r="R25" s="756" t="s">
        <v>33</v>
      </c>
      <c r="S25" s="756"/>
      <c r="T25" s="897">
        <f t="shared" si="3"/>
        <v>0</v>
      </c>
      <c r="U25" s="897"/>
      <c r="V25" s="896">
        <v>1</v>
      </c>
      <c r="W25" s="896"/>
      <c r="X25" s="156">
        <f t="shared" si="4"/>
        <v>0</v>
      </c>
      <c r="Y25" s="266">
        <f t="shared" si="6"/>
        <v>0</v>
      </c>
    </row>
    <row r="26" spans="1:25" x14ac:dyDescent="0.25">
      <c r="A26" s="757" t="s">
        <v>34</v>
      </c>
      <c r="B26" s="757"/>
      <c r="C26" s="414">
        <v>9.27</v>
      </c>
      <c r="D26" s="414">
        <v>0</v>
      </c>
      <c r="E26" s="832">
        <f t="shared" si="0"/>
        <v>18.54</v>
      </c>
      <c r="F26" s="832"/>
      <c r="G26" s="833">
        <v>1.165</v>
      </c>
      <c r="H26" s="833"/>
      <c r="I26" s="577">
        <f t="shared" si="2"/>
        <v>21.5991</v>
      </c>
      <c r="J26" s="578">
        <f t="shared" si="1"/>
        <v>120162.86</v>
      </c>
      <c r="M26" s="2"/>
      <c r="R26" s="756" t="s">
        <v>34</v>
      </c>
      <c r="S26" s="756"/>
      <c r="T26" s="897">
        <f t="shared" si="3"/>
        <v>0</v>
      </c>
      <c r="U26" s="897"/>
      <c r="V26" s="896">
        <v>1</v>
      </c>
      <c r="W26" s="896"/>
      <c r="X26" s="156">
        <f t="shared" si="4"/>
        <v>0</v>
      </c>
      <c r="Y26" s="266">
        <f t="shared" si="6"/>
        <v>0</v>
      </c>
    </row>
    <row r="27" spans="1:25" x14ac:dyDescent="0.25">
      <c r="A27" s="764" t="s">
        <v>35</v>
      </c>
      <c r="B27" s="764"/>
      <c r="C27" s="415">
        <v>22.65</v>
      </c>
      <c r="D27" s="415">
        <v>0</v>
      </c>
      <c r="E27" s="834">
        <f t="shared" si="0"/>
        <v>45.3</v>
      </c>
      <c r="F27" s="834"/>
      <c r="G27" s="835">
        <v>1.081</v>
      </c>
      <c r="H27" s="835"/>
      <c r="I27" s="22">
        <f t="shared" si="2"/>
        <v>48.969299999999997</v>
      </c>
      <c r="J27" s="127">
        <f t="shared" si="1"/>
        <v>272432.24</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353.44</v>
      </c>
      <c r="D28" s="126">
        <f>SUM(D12:D27)</f>
        <v>0</v>
      </c>
      <c r="E28" s="837">
        <f>SUM(E12:E27)</f>
        <v>706.88</v>
      </c>
      <c r="F28" s="837"/>
      <c r="G28" s="838"/>
      <c r="H28" s="838"/>
      <c r="I28" s="23">
        <f>SUM(I12:I27)</f>
        <v>701.31790000000001</v>
      </c>
      <c r="J28" s="127">
        <f>SUM(J12:J27)</f>
        <v>3901661.0199999996</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701.31790000000001</v>
      </c>
      <c r="H33" s="838" t="s">
        <v>45</v>
      </c>
      <c r="I33" s="838"/>
      <c r="J33" s="32">
        <f>SUM(J32,J28)</f>
        <v>3901661.0199999996</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3901661.02</v>
      </c>
      <c r="H36" s="223" t="s">
        <v>49</v>
      </c>
      <c r="I36" s="38">
        <v>6.6699999999999995E-2</v>
      </c>
      <c r="J36" s="131">
        <f>ROUND(G36*I36,2)</f>
        <v>260240.79</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3901661.02</v>
      </c>
      <c r="H37" s="223" t="s">
        <v>49</v>
      </c>
      <c r="I37" s="38">
        <v>5.4000000000000003E-3</v>
      </c>
      <c r="J37" s="131">
        <f>ROUND(G37*I37,2)</f>
        <v>21068.97</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281309.76</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734">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734">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7.5</v>
      </c>
      <c r="D44" s="414">
        <v>0</v>
      </c>
      <c r="E44" s="847">
        <f t="shared" si="7"/>
        <v>15</v>
      </c>
      <c r="F44" s="847"/>
      <c r="G44" s="47" t="s">
        <v>60</v>
      </c>
      <c r="H44" s="223">
        <v>251</v>
      </c>
      <c r="I44" s="136">
        <f>INDEX('[1]111-112-113 ADDITIONAL FUND'!G$1:G$65536,MATCH($A$1,'[1]111-112-113 ADDITIONAL FUND'!A$1:A$65536))</f>
        <v>1173</v>
      </c>
      <c r="J44" s="734">
        <f t="shared" si="8"/>
        <v>17595</v>
      </c>
      <c r="L44" s="3"/>
      <c r="M44" s="2"/>
      <c r="Q44" s="4"/>
      <c r="R44" s="906"/>
      <c r="S44" s="906"/>
      <c r="T44" s="888"/>
      <c r="U44" s="888"/>
      <c r="V44" s="182" t="s">
        <v>60</v>
      </c>
      <c r="W44" s="239">
        <v>251</v>
      </c>
      <c r="X44" s="134">
        <f t="shared" si="9"/>
        <v>1173</v>
      </c>
      <c r="Y44" s="269">
        <f t="shared" si="10"/>
        <v>0</v>
      </c>
    </row>
    <row r="45" spans="1:25" x14ac:dyDescent="0.25">
      <c r="A45" s="846"/>
      <c r="B45" s="846"/>
      <c r="C45" s="414">
        <v>0.5</v>
      </c>
      <c r="D45" s="414">
        <v>0</v>
      </c>
      <c r="E45" s="847">
        <f t="shared" si="7"/>
        <v>1</v>
      </c>
      <c r="F45" s="847"/>
      <c r="G45" s="47" t="s">
        <v>60</v>
      </c>
      <c r="H45" s="223">
        <v>252</v>
      </c>
      <c r="I45" s="136">
        <f>INDEX('[1]111-112-113 ADDITIONAL FUND'!H$1:H$65536,MATCH($A$1,'[1]111-112-113 ADDITIONAL FUND'!A$1:A$65536))</f>
        <v>3506</v>
      </c>
      <c r="J45" s="734">
        <f t="shared" si="8"/>
        <v>3506</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36.5</v>
      </c>
      <c r="D47" s="414">
        <v>0</v>
      </c>
      <c r="E47" s="847">
        <f t="shared" si="7"/>
        <v>73</v>
      </c>
      <c r="F47" s="847"/>
      <c r="G47" s="47" t="s">
        <v>61</v>
      </c>
      <c r="H47" s="223">
        <v>251</v>
      </c>
      <c r="I47" s="136">
        <f>INDEX('[1]111-112-113 ADDITIONAL FUND'!J$1:J$65536,MATCH($A$1,'[1]111-112-113 ADDITIONAL FUND'!A$1:A$65536))</f>
        <v>835</v>
      </c>
      <c r="J47" s="734">
        <f t="shared" si="8"/>
        <v>60955</v>
      </c>
      <c r="M47" s="2"/>
      <c r="R47" s="906"/>
      <c r="S47" s="906"/>
      <c r="T47" s="888"/>
      <c r="U47" s="888"/>
      <c r="V47" s="182" t="s">
        <v>61</v>
      </c>
      <c r="W47" s="239">
        <v>251</v>
      </c>
      <c r="X47" s="134">
        <f t="shared" si="9"/>
        <v>835</v>
      </c>
      <c r="Y47" s="269">
        <f t="shared" si="10"/>
        <v>0</v>
      </c>
    </row>
    <row r="48" spans="1:25" ht="15.75" customHeight="1" x14ac:dyDescent="0.25">
      <c r="A48" s="846"/>
      <c r="B48" s="846"/>
      <c r="C48" s="414">
        <v>1</v>
      </c>
      <c r="D48" s="414">
        <v>0</v>
      </c>
      <c r="E48" s="847">
        <f t="shared" si="7"/>
        <v>2</v>
      </c>
      <c r="F48" s="847"/>
      <c r="G48" s="47" t="s">
        <v>61</v>
      </c>
      <c r="H48" s="223">
        <v>252</v>
      </c>
      <c r="I48" s="136">
        <f>INDEX('[1]111-112-113 ADDITIONAL FUND'!K$1:K$65536,MATCH($A$1,'[1]111-112-113 ADDITIONAL FUND'!A$1:A$65536))</f>
        <v>3168</v>
      </c>
      <c r="J48" s="734">
        <f t="shared" si="8"/>
        <v>6336</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45.5</v>
      </c>
      <c r="D50" s="584">
        <f>SUM(D41:D49)</f>
        <v>0</v>
      </c>
      <c r="E50" s="853">
        <f>SUM(E41:E49)</f>
        <v>91</v>
      </c>
      <c r="F50" s="853"/>
      <c r="G50" s="839" t="s">
        <v>63</v>
      </c>
      <c r="H50" s="839"/>
      <c r="I50" s="839"/>
      <c r="J50" s="276">
        <f>SUM(J41:J49)</f>
        <v>88392</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706.88</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3.2829999999999999E-3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701.31790000000001</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3.0620000000000001E-3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706.88</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3.797E-3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706.88</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3.2880000000000001E-3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706.88</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3.803E-3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3.2880000000000001E-3</v>
      </c>
      <c r="J68" s="138">
        <f>ROUND(G68*I68,2)</f>
        <v>155491.98000000001</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3.2829999999999999E-3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3.803E-3</v>
      </c>
      <c r="J71" s="138">
        <f>ROUND(G71*I71,2)</f>
        <v>72895.45</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3.797E-3</v>
      </c>
      <c r="J72" s="138">
        <f>ROUND(G72*I72,2)</f>
        <v>43843.54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v>26.72</v>
      </c>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v>44.22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8.9</v>
      </c>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79.84</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817" t="s">
        <v>101</v>
      </c>
      <c r="B84" s="817"/>
      <c r="C84" s="817"/>
      <c r="D84" s="230"/>
      <c r="G84" s="121">
        <f>INDEX('[1]Detail 2025-26 FEFP Second'!O$1:O$65536,MATCH(A1,'[1]Detail 2025-26 FEFP Second'!A$1:A$65536))</f>
        <v>63269727</v>
      </c>
      <c r="H84" s="223" t="s">
        <v>81</v>
      </c>
      <c r="I84" s="41">
        <f>IFERROR(ROUND(J81/J82,6),0)</f>
        <v>6.966E-3</v>
      </c>
      <c r="J84" s="735">
        <f>ROUND(G84*I84,2)</f>
        <v>440736.92</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3.0620000000000001E-3</v>
      </c>
      <c r="J85" s="138">
        <f>ROUND(G85*I85,2)</f>
        <v>823115.44</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3.0620000000000001E-3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3.2829999999999999E-3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734">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149.22069999999999</v>
      </c>
      <c r="C91" s="245"/>
      <c r="D91" s="915">
        <f>I6</f>
        <v>1.0355000000000001</v>
      </c>
      <c r="E91" s="915"/>
      <c r="F91" s="915"/>
      <c r="G91" s="122">
        <f>'[1]Detail 2025-26 FEFP Second'!AC3</f>
        <v>915.09</v>
      </c>
      <c r="H91" s="47" t="s">
        <v>68</v>
      </c>
      <c r="I91" s="734">
        <f>ROUND(B91*D91*G91,2)</f>
        <v>141397.91</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552.09720000000004</v>
      </c>
      <c r="C92" s="109"/>
      <c r="D92" s="915">
        <f>I6</f>
        <v>1.0355000000000001</v>
      </c>
      <c r="E92" s="915"/>
      <c r="F92" s="915"/>
      <c r="G92" s="122">
        <f>'[1]Detail 2025-26 FEFP Second'!AD3</f>
        <v>917.3</v>
      </c>
      <c r="H92" s="47" t="s">
        <v>68</v>
      </c>
      <c r="I92" s="734">
        <f>ROUND(B92*D92*G92,2)</f>
        <v>524417.34</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701.31790000000001</v>
      </c>
      <c r="C93" s="109"/>
      <c r="D93" s="109"/>
      <c r="E93" s="867" t="s">
        <v>112</v>
      </c>
      <c r="F93" s="867"/>
      <c r="G93" s="867"/>
      <c r="H93" s="867"/>
      <c r="I93" s="867"/>
      <c r="J93" s="127">
        <f>IF(A1=75,0,I92+I91+I90)</f>
        <v>665815.25</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239</v>
      </c>
      <c r="D97" s="279">
        <v>266</v>
      </c>
      <c r="E97" s="942">
        <f>(C97+D97)/2</f>
        <v>252.5</v>
      </c>
      <c r="F97" s="871"/>
      <c r="G97" s="871"/>
      <c r="H97" s="224" t="s">
        <v>117</v>
      </c>
      <c r="I97" s="130">
        <f>IF(A1&gt;67,0,INDEX('[1]Transportation Per Student'!F$1:F$65536,MATCH(A1,'[1]Transportation Per Student'!B$1:B$65536)))</f>
        <v>617</v>
      </c>
      <c r="J97" s="138">
        <f>ROUND(I97*E97,2)</f>
        <v>155792.5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6347744.0999999996</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6066434.3399999999</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v>0</v>
      </c>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736" t="s">
        <v>185</v>
      </c>
      <c r="B114" s="719"/>
      <c r="C114" s="719"/>
      <c r="D114" s="719"/>
      <c r="E114" s="719"/>
      <c r="F114" s="719"/>
      <c r="G114" s="719"/>
      <c r="H114" s="716" t="s">
        <v>436</v>
      </c>
      <c r="I114" s="717">
        <f>IF(I111=1,J111,J109)</f>
        <v>6066434.3399999999</v>
      </c>
      <c r="J114" s="718">
        <f>ROUND(IF(E28=0,0,IF(E28&gt;250,-(((250/E28)*I114)*IF(H114="H",0.02,0.05)),IF(H114="H",-0.02*I114,-0.05*I114))),2)</f>
        <v>-42909.93</v>
      </c>
      <c r="M114" s="2"/>
      <c r="N114" s="3"/>
      <c r="R114" s="2"/>
      <c r="T114" s="4"/>
      <c r="W114" s="2"/>
      <c r="X114" s="5"/>
    </row>
    <row r="115" spans="1:26" s="285" customFormat="1" ht="16.5" customHeight="1" x14ac:dyDescent="0.25">
      <c r="A115" s="719"/>
      <c r="B115" s="719"/>
      <c r="C115" s="719"/>
      <c r="D115" s="719"/>
      <c r="E115" s="719"/>
      <c r="F115" s="719"/>
      <c r="G115" s="719"/>
      <c r="H115" s="719"/>
      <c r="I115" s="720"/>
      <c r="J115" s="721"/>
      <c r="K115" s="289"/>
      <c r="N115" s="290"/>
      <c r="S115" s="291"/>
      <c r="T115" s="291"/>
      <c r="U115" s="291"/>
      <c r="V115" s="291"/>
      <c r="W115" s="291"/>
      <c r="X115" s="291"/>
      <c r="Y115" s="291"/>
      <c r="Z115" s="291"/>
    </row>
    <row r="116" spans="1:26" s="285" customFormat="1" ht="16.5" customHeight="1" x14ac:dyDescent="0.25">
      <c r="A116" s="737" t="s">
        <v>186</v>
      </c>
      <c r="B116" s="722"/>
      <c r="C116" s="722"/>
      <c r="D116" s="722"/>
      <c r="E116" s="722"/>
      <c r="F116" s="722"/>
      <c r="G116" s="722"/>
      <c r="H116" s="722"/>
      <c r="I116" s="723"/>
      <c r="J116" s="724">
        <f>J107+J114</f>
        <v>6304834.1699999999</v>
      </c>
      <c r="K116" s="289"/>
      <c r="N116" s="290"/>
      <c r="S116" s="291"/>
      <c r="T116" s="291"/>
      <c r="U116" s="291"/>
      <c r="V116" s="291"/>
      <c r="W116" s="291"/>
      <c r="X116" s="291"/>
      <c r="Y116" s="291"/>
      <c r="Z116" s="291"/>
    </row>
    <row r="117" spans="1:26" s="285" customFormat="1" ht="16.5" customHeight="1" x14ac:dyDescent="0.25">
      <c r="A117" s="719"/>
      <c r="B117" s="719"/>
      <c r="C117" s="719"/>
      <c r="D117" s="719"/>
      <c r="E117" s="719"/>
      <c r="F117" s="719"/>
      <c r="G117" s="719"/>
      <c r="H117" s="719"/>
      <c r="I117" s="720"/>
      <c r="J117" s="721"/>
      <c r="K117" s="289"/>
      <c r="N117" s="290"/>
      <c r="S117" s="291"/>
      <c r="T117" s="291"/>
      <c r="U117" s="291"/>
      <c r="V117" s="291"/>
      <c r="W117" s="291"/>
      <c r="X117" s="291"/>
      <c r="Y117" s="291"/>
      <c r="Z117" s="291"/>
    </row>
    <row r="118" spans="1:26" s="285" customFormat="1" ht="16.5" customHeight="1" x14ac:dyDescent="0.25">
      <c r="A118" s="736" t="s">
        <v>187</v>
      </c>
      <c r="B118" s="719"/>
      <c r="C118" s="738"/>
      <c r="D118" s="719"/>
      <c r="E118" s="736"/>
      <c r="F118" s="736"/>
      <c r="G118" s="719"/>
      <c r="H118" s="719"/>
      <c r="I118" s="720"/>
      <c r="J118" s="725">
        <f>-'Cumulative Payments'!R87</f>
        <v>-970977.54</v>
      </c>
      <c r="K118" s="289"/>
      <c r="N118" s="290"/>
      <c r="S118" s="291"/>
      <c r="T118" s="291"/>
      <c r="U118" s="291"/>
      <c r="V118" s="291"/>
      <c r="W118" s="291"/>
      <c r="X118" s="291"/>
      <c r="Y118" s="291"/>
      <c r="Z118" s="291"/>
    </row>
    <row r="119" spans="1:26" s="285" customFormat="1" ht="16.5" customHeight="1" x14ac:dyDescent="0.25">
      <c r="A119" s="719"/>
      <c r="B119" s="719"/>
      <c r="C119" s="719"/>
      <c r="D119" s="719"/>
      <c r="E119" s="719"/>
      <c r="F119" s="719"/>
      <c r="G119" s="719"/>
      <c r="H119" s="719"/>
      <c r="I119" s="720"/>
      <c r="J119" s="721"/>
      <c r="K119" s="289"/>
      <c r="N119" s="290"/>
      <c r="S119" s="291"/>
      <c r="T119" s="291"/>
      <c r="U119" s="291"/>
      <c r="V119" s="291"/>
      <c r="W119" s="291"/>
      <c r="X119" s="291"/>
      <c r="Y119" s="291"/>
      <c r="Z119" s="291"/>
    </row>
    <row r="120" spans="1:26" s="285" customFormat="1" ht="16.5" customHeight="1" x14ac:dyDescent="0.25">
      <c r="A120" s="736" t="s">
        <v>188</v>
      </c>
      <c r="B120" s="719"/>
      <c r="C120" s="719"/>
      <c r="D120" s="719"/>
      <c r="E120" s="719"/>
      <c r="F120" s="719"/>
      <c r="G120" s="719"/>
      <c r="H120" s="719"/>
      <c r="I120" s="720"/>
      <c r="J120" s="721">
        <f>J116+J118</f>
        <v>5333856.63</v>
      </c>
      <c r="K120" s="289"/>
      <c r="N120" s="290"/>
      <c r="S120" s="291"/>
      <c r="T120" s="291"/>
      <c r="U120" s="291"/>
      <c r="V120" s="291"/>
      <c r="W120" s="291"/>
      <c r="X120" s="291"/>
      <c r="Y120" s="291"/>
      <c r="Z120" s="291"/>
    </row>
    <row r="121" spans="1:26" s="285" customFormat="1" ht="16.5" customHeight="1" x14ac:dyDescent="0.25">
      <c r="A121" s="736"/>
      <c r="B121" s="719"/>
      <c r="C121" s="719"/>
      <c r="D121" s="719"/>
      <c r="E121" s="719"/>
      <c r="F121" s="719"/>
      <c r="G121" s="719"/>
      <c r="H121" s="719"/>
      <c r="I121" s="720"/>
      <c r="J121" s="721"/>
      <c r="K121" s="289"/>
      <c r="N121" s="290"/>
      <c r="S121" s="291"/>
      <c r="T121" s="291"/>
      <c r="U121" s="291"/>
      <c r="V121" s="291"/>
      <c r="W121" s="291"/>
      <c r="X121" s="291"/>
      <c r="Y121" s="291"/>
      <c r="Z121" s="291"/>
    </row>
    <row r="122" spans="1:26" s="285" customFormat="1" ht="16.5" customHeight="1" x14ac:dyDescent="0.25">
      <c r="A122" s="736" t="s">
        <v>189</v>
      </c>
      <c r="B122" s="719"/>
      <c r="C122" s="719"/>
      <c r="D122" s="719"/>
      <c r="E122" s="719"/>
      <c r="F122" s="719"/>
      <c r="G122" s="719"/>
      <c r="H122" s="719"/>
      <c r="I122" s="720"/>
      <c r="J122" s="726">
        <v>10</v>
      </c>
      <c r="K122" s="289"/>
      <c r="N122" s="290"/>
      <c r="S122" s="291"/>
      <c r="T122" s="291"/>
      <c r="U122" s="291"/>
      <c r="V122" s="291"/>
      <c r="W122" s="291"/>
      <c r="X122" s="291"/>
      <c r="Y122" s="291"/>
      <c r="Z122" s="291"/>
    </row>
    <row r="123" spans="1:26" s="285" customFormat="1" ht="16.5" customHeight="1" x14ac:dyDescent="0.25">
      <c r="A123" s="719"/>
      <c r="B123" s="719"/>
      <c r="C123" s="719"/>
      <c r="D123" s="719"/>
      <c r="E123" s="719"/>
      <c r="F123" s="719"/>
      <c r="G123" s="719"/>
      <c r="H123" s="719"/>
      <c r="I123" s="720"/>
      <c r="J123" s="721"/>
      <c r="K123" s="289"/>
      <c r="N123" s="290"/>
      <c r="S123" s="291"/>
      <c r="T123" s="291"/>
      <c r="U123" s="291"/>
      <c r="V123" s="291"/>
      <c r="W123" s="291"/>
      <c r="X123" s="291"/>
      <c r="Y123" s="291"/>
      <c r="Z123" s="291"/>
    </row>
    <row r="124" spans="1:26" s="285" customFormat="1" ht="16.5" customHeight="1" thickBot="1" x14ac:dyDescent="0.3">
      <c r="A124" s="736" t="s">
        <v>190</v>
      </c>
      <c r="B124" s="719"/>
      <c r="C124" s="719"/>
      <c r="D124" s="719"/>
      <c r="E124" s="719"/>
      <c r="F124" s="719"/>
      <c r="G124" s="719"/>
      <c r="H124" s="719"/>
      <c r="I124" s="720"/>
      <c r="J124" s="727">
        <f>ROUND(J120/J122,2)</f>
        <v>533385.66</v>
      </c>
      <c r="K124" s="289"/>
      <c r="N124" s="290"/>
      <c r="S124" s="291"/>
      <c r="T124" s="291"/>
      <c r="U124" s="291"/>
      <c r="V124" s="291"/>
      <c r="W124" s="291"/>
      <c r="X124" s="291"/>
      <c r="Y124" s="291"/>
      <c r="Z124" s="291"/>
    </row>
    <row r="125" spans="1:26" s="285" customFormat="1" ht="16.5" customHeight="1" thickTop="1" x14ac:dyDescent="0.25">
      <c r="A125" s="719"/>
      <c r="B125" s="719"/>
      <c r="C125" s="719"/>
      <c r="D125" s="719"/>
      <c r="E125" s="719"/>
      <c r="F125" s="719"/>
      <c r="G125" s="719"/>
      <c r="H125" s="719"/>
      <c r="I125" s="720"/>
      <c r="J125" s="721"/>
      <c r="K125" s="289"/>
      <c r="N125" s="290"/>
      <c r="S125" s="291"/>
      <c r="T125" s="291"/>
      <c r="U125" s="291"/>
      <c r="V125" s="291"/>
      <c r="W125" s="291"/>
      <c r="X125" s="291"/>
      <c r="Y125" s="291"/>
      <c r="Z125" s="291"/>
    </row>
    <row r="126" spans="1:26" s="285" customFormat="1" ht="16.5" customHeight="1" thickBot="1" x14ac:dyDescent="0.3">
      <c r="A126" s="736" t="s">
        <v>191</v>
      </c>
      <c r="B126" s="719"/>
      <c r="C126" s="719"/>
      <c r="D126" s="719"/>
      <c r="E126" s="719"/>
      <c r="F126" s="719"/>
      <c r="G126" s="719"/>
      <c r="H126" s="719"/>
      <c r="I126" s="720"/>
      <c r="J126" s="728">
        <f>ROUND(IF(H114="H",(I114*0.02)+J114,(I114*0.05)+J114),2)</f>
        <v>78418.759999999995</v>
      </c>
      <c r="K126" s="289"/>
      <c r="N126" s="290"/>
      <c r="S126" s="291"/>
      <c r="T126" s="291"/>
      <c r="U126" s="291"/>
      <c r="V126" s="291"/>
      <c r="W126" s="291"/>
      <c r="X126" s="291"/>
      <c r="Y126" s="291"/>
      <c r="Z126" s="291"/>
    </row>
    <row r="127" spans="1:26" s="285" customFormat="1" ht="15.75" customHeight="1" thickTop="1" x14ac:dyDescent="0.25">
      <c r="A127" s="719"/>
      <c r="B127" s="719"/>
      <c r="C127" s="719"/>
      <c r="D127" s="719"/>
      <c r="E127" s="719"/>
      <c r="F127" s="719"/>
      <c r="G127" s="719"/>
      <c r="H127" s="720"/>
      <c r="I127" s="729"/>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9480-D1A2-43E0-A4B6-7F1373A18D9B}">
  <dimension ref="A1:Z207"/>
  <sheetViews>
    <sheetView topLeftCell="A103" workbookViewId="0">
      <selection activeCell="H114" sqref="H11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453</v>
      </c>
      <c r="B2" s="102"/>
      <c r="C2" s="102"/>
      <c r="D2" s="102"/>
      <c r="E2" s="100"/>
      <c r="F2" s="100"/>
      <c r="G2" s="100"/>
      <c r="H2" s="100"/>
      <c r="I2" s="100"/>
      <c r="J2" s="100"/>
      <c r="K2" s="6"/>
      <c r="L2" s="6"/>
      <c r="M2" s="6"/>
      <c r="N2" s="6"/>
      <c r="O2" s="6"/>
      <c r="P2" s="6"/>
      <c r="Q2" s="6"/>
      <c r="R2" s="920" t="str">
        <f>Revenue_Estimate_Worksheet_for___________Charter_School</f>
        <v>Revenue Estimate Worksheet: Everglades Preparatory Academy - 3398</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Second'!$C$1:$C$65536,MATCH('3398'!$A$1,'[1]Detail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Second'!$D$1:$D$65536,MATCH('3398'!$A$1,'[1]Detail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8</v>
      </c>
      <c r="D14" s="414">
        <v>0</v>
      </c>
      <c r="E14" s="832">
        <f t="shared" si="0"/>
        <v>16</v>
      </c>
      <c r="F14" s="832"/>
      <c r="G14" s="833">
        <v>1</v>
      </c>
      <c r="H14" s="833"/>
      <c r="I14" s="577">
        <f t="shared" si="2"/>
        <v>16</v>
      </c>
      <c r="J14" s="578">
        <f>ROUND(ROUND(ROUND(I14*$E$6,4)*($I$6),2)*(MAX($I$7,1)),2)</f>
        <v>89013.24</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1</v>
      </c>
      <c r="D15" s="414">
        <v>0</v>
      </c>
      <c r="E15" s="832">
        <f t="shared" si="0"/>
        <v>2</v>
      </c>
      <c r="F15" s="832"/>
      <c r="G15" s="833">
        <v>1</v>
      </c>
      <c r="H15" s="833"/>
      <c r="I15" s="577">
        <f t="shared" si="2"/>
        <v>2</v>
      </c>
      <c r="J15" s="578">
        <f t="shared" si="1"/>
        <v>11126.65</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36.11</v>
      </c>
      <c r="D16" s="414">
        <v>0</v>
      </c>
      <c r="E16" s="832">
        <f t="shared" si="0"/>
        <v>72.22</v>
      </c>
      <c r="F16" s="832"/>
      <c r="G16" s="833">
        <v>0.97199999999999998</v>
      </c>
      <c r="H16" s="833"/>
      <c r="I16" s="577">
        <f t="shared" si="2"/>
        <v>70.197800000000001</v>
      </c>
      <c r="J16" s="578">
        <f t="shared" si="1"/>
        <v>390533.34</v>
      </c>
      <c r="M16" s="2"/>
      <c r="R16" s="756" t="s">
        <v>24</v>
      </c>
      <c r="S16" s="756"/>
      <c r="T16" s="897">
        <f t="shared" si="3"/>
        <v>0</v>
      </c>
      <c r="U16" s="897"/>
      <c r="V16" s="896">
        <v>1</v>
      </c>
      <c r="W16" s="896"/>
      <c r="X16" s="156">
        <f t="shared" si="4"/>
        <v>0</v>
      </c>
      <c r="Y16" s="266">
        <f t="shared" si="6"/>
        <v>0</v>
      </c>
    </row>
    <row r="17" spans="1:25" x14ac:dyDescent="0.25">
      <c r="A17" s="757" t="s">
        <v>25</v>
      </c>
      <c r="B17" s="757"/>
      <c r="C17" s="414">
        <v>9.68</v>
      </c>
      <c r="D17" s="414">
        <v>0</v>
      </c>
      <c r="E17" s="832">
        <f t="shared" si="0"/>
        <v>19.36</v>
      </c>
      <c r="F17" s="832"/>
      <c r="G17" s="833">
        <v>0.97199999999999998</v>
      </c>
      <c r="H17" s="833"/>
      <c r="I17" s="577">
        <f t="shared" si="2"/>
        <v>18.817900000000002</v>
      </c>
      <c r="J17" s="578">
        <f t="shared" si="1"/>
        <v>104690.14</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0.83</v>
      </c>
      <c r="D26" s="414">
        <v>0</v>
      </c>
      <c r="E26" s="832">
        <f t="shared" si="0"/>
        <v>1.66</v>
      </c>
      <c r="F26" s="832"/>
      <c r="G26" s="833">
        <v>1.165</v>
      </c>
      <c r="H26" s="833"/>
      <c r="I26" s="577">
        <f t="shared" si="2"/>
        <v>1.9339</v>
      </c>
      <c r="J26" s="578">
        <f t="shared" si="1"/>
        <v>10758.92</v>
      </c>
      <c r="M26" s="2"/>
      <c r="R26" s="756" t="s">
        <v>34</v>
      </c>
      <c r="S26" s="756"/>
      <c r="T26" s="897">
        <f t="shared" si="3"/>
        <v>0</v>
      </c>
      <c r="U26" s="897"/>
      <c r="V26" s="896">
        <v>1</v>
      </c>
      <c r="W26" s="896"/>
      <c r="X26" s="156">
        <f t="shared" si="4"/>
        <v>0</v>
      </c>
      <c r="Y26" s="266">
        <f t="shared" si="6"/>
        <v>0</v>
      </c>
    </row>
    <row r="27" spans="1:25" x14ac:dyDescent="0.25">
      <c r="A27" s="764" t="s">
        <v>35</v>
      </c>
      <c r="B27" s="764"/>
      <c r="C27" s="415">
        <v>0.97</v>
      </c>
      <c r="D27" s="415">
        <v>0</v>
      </c>
      <c r="E27" s="834">
        <f t="shared" si="0"/>
        <v>1.94</v>
      </c>
      <c r="F27" s="834"/>
      <c r="G27" s="835">
        <v>1.081</v>
      </c>
      <c r="H27" s="835"/>
      <c r="I27" s="22">
        <f t="shared" si="2"/>
        <v>2.0971000000000002</v>
      </c>
      <c r="J27" s="127">
        <f t="shared" si="1"/>
        <v>11666.85</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56.589999999999996</v>
      </c>
      <c r="D28" s="126">
        <f>SUM(D12:D27)</f>
        <v>0</v>
      </c>
      <c r="E28" s="837">
        <f>SUM(E12:E27)</f>
        <v>113.17999999999999</v>
      </c>
      <c r="F28" s="837"/>
      <c r="G28" s="838"/>
      <c r="H28" s="838"/>
      <c r="I28" s="23">
        <f>SUM(I12:I27)</f>
        <v>111.0467</v>
      </c>
      <c r="J28" s="127">
        <f>SUM(J12:J27)</f>
        <v>617789.14</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111.0467</v>
      </c>
      <c r="H33" s="838" t="s">
        <v>45</v>
      </c>
      <c r="I33" s="838"/>
      <c r="J33" s="32">
        <f>SUM(J32,J28)</f>
        <v>617789.14</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617789.14</v>
      </c>
      <c r="H36" s="223" t="s">
        <v>49</v>
      </c>
      <c r="I36" s="38">
        <v>6.6699999999999995E-2</v>
      </c>
      <c r="J36" s="131">
        <f>ROUND(G36*I36,2)</f>
        <v>41206.54</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617789.14</v>
      </c>
      <c r="H37" s="223" t="s">
        <v>49</v>
      </c>
      <c r="I37" s="38">
        <v>5.4000000000000003E-3</v>
      </c>
      <c r="J37" s="131">
        <f>ROUND(G37*I37,2)</f>
        <v>3336.06</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44542.6</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734">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734">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1</v>
      </c>
      <c r="D44" s="414">
        <v>0</v>
      </c>
      <c r="E44" s="847">
        <f t="shared" si="7"/>
        <v>2</v>
      </c>
      <c r="F44" s="847"/>
      <c r="G44" s="47" t="s">
        <v>60</v>
      </c>
      <c r="H44" s="223">
        <v>251</v>
      </c>
      <c r="I44" s="136">
        <f>INDEX('[1]111-112-113 ADDITIONAL FUND'!G$1:G$65536,MATCH($A$1,'[1]111-112-113 ADDITIONAL FUND'!A$1:A$65536))</f>
        <v>1173</v>
      </c>
      <c r="J44" s="734">
        <f t="shared" si="8"/>
        <v>2346</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734">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9.18</v>
      </c>
      <c r="D47" s="414">
        <v>0</v>
      </c>
      <c r="E47" s="847">
        <f t="shared" si="7"/>
        <v>18.36</v>
      </c>
      <c r="F47" s="847"/>
      <c r="G47" s="47" t="s">
        <v>61</v>
      </c>
      <c r="H47" s="223">
        <v>251</v>
      </c>
      <c r="I47" s="136">
        <f>INDEX('[1]111-112-113 ADDITIONAL FUND'!J$1:J$65536,MATCH($A$1,'[1]111-112-113 ADDITIONAL FUND'!A$1:A$65536))</f>
        <v>835</v>
      </c>
      <c r="J47" s="734">
        <f t="shared" si="8"/>
        <v>15330.6</v>
      </c>
      <c r="M47" s="2"/>
      <c r="R47" s="906"/>
      <c r="S47" s="906"/>
      <c r="T47" s="888"/>
      <c r="U47" s="888"/>
      <c r="V47" s="182" t="s">
        <v>61</v>
      </c>
      <c r="W47" s="239">
        <v>251</v>
      </c>
      <c r="X47" s="134">
        <f t="shared" si="9"/>
        <v>835</v>
      </c>
      <c r="Y47" s="269">
        <f t="shared" si="10"/>
        <v>0</v>
      </c>
    </row>
    <row r="48" spans="1:25" ht="15.75" customHeight="1" x14ac:dyDescent="0.25">
      <c r="A48" s="846"/>
      <c r="B48" s="846"/>
      <c r="C48" s="414">
        <v>0.5</v>
      </c>
      <c r="D48" s="414">
        <v>0</v>
      </c>
      <c r="E48" s="847">
        <f t="shared" si="7"/>
        <v>1</v>
      </c>
      <c r="F48" s="847"/>
      <c r="G48" s="47" t="s">
        <v>61</v>
      </c>
      <c r="H48" s="223">
        <v>252</v>
      </c>
      <c r="I48" s="136">
        <f>INDEX('[1]111-112-113 ADDITIONAL FUND'!K$1:K$65536,MATCH($A$1,'[1]111-112-113 ADDITIONAL FUND'!A$1:A$65536))</f>
        <v>3168</v>
      </c>
      <c r="J48" s="734">
        <f t="shared" si="8"/>
        <v>3168</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10.68</v>
      </c>
      <c r="D50" s="584">
        <f>SUM(D41:D49)</f>
        <v>0</v>
      </c>
      <c r="E50" s="853">
        <f>SUM(E41:E49)</f>
        <v>21.36</v>
      </c>
      <c r="F50" s="853"/>
      <c r="G50" s="839" t="s">
        <v>63</v>
      </c>
      <c r="H50" s="839"/>
      <c r="I50" s="839"/>
      <c r="J50" s="276">
        <f>SUM(J41:J49)</f>
        <v>20844.599999999999</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113.17999999999999</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5.2599999999999999E-4</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111.0467</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4.8500000000000003E-4</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113.17999999999999</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6.0800000000000003E-4</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113.17999999999999</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5.2599999999999999E-4</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113.17999999999999</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6.0899999999999995E-4</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5.2599999999999999E-4</v>
      </c>
      <c r="J68" s="138">
        <f>ROUND(G68*I68,2)</f>
        <v>24874.93</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5.2599999999999999E-4</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6.0899999999999995E-4</v>
      </c>
      <c r="J71" s="138">
        <f>ROUND(G71*I71,2)</f>
        <v>11673.24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6.0800000000000003E-4</v>
      </c>
      <c r="J72" s="138">
        <f>ROUND(G72*I72,2)</f>
        <v>7020.51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4.8500000000000003E-4</v>
      </c>
      <c r="J85" s="138">
        <f>ROUND(G85*I85,2)</f>
        <v>130375.89</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4.8500000000000003E-4</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5.2599999999999999E-4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734">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18</v>
      </c>
      <c r="C91" s="245"/>
      <c r="D91" s="915">
        <f>I6</f>
        <v>1.0355000000000001</v>
      </c>
      <c r="E91" s="915"/>
      <c r="F91" s="915"/>
      <c r="G91" s="122">
        <f>'[1]Detail 2025-26 FEFP Second'!AC3</f>
        <v>915.09</v>
      </c>
      <c r="H91" s="47" t="s">
        <v>68</v>
      </c>
      <c r="I91" s="734">
        <f>ROUND(B91*D91*G91,2)</f>
        <v>17056.36</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93.046700000000001</v>
      </c>
      <c r="C92" s="109"/>
      <c r="D92" s="915">
        <f>I6</f>
        <v>1.0355000000000001</v>
      </c>
      <c r="E92" s="915"/>
      <c r="F92" s="915"/>
      <c r="G92" s="122">
        <f>'[1]Detail 2025-26 FEFP Second'!AD3</f>
        <v>917.3</v>
      </c>
      <c r="H92" s="47" t="s">
        <v>68</v>
      </c>
      <c r="I92" s="734">
        <f>ROUND(B92*D92*G92,2)</f>
        <v>88381.72</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111.0467</v>
      </c>
      <c r="C93" s="109"/>
      <c r="D93" s="109"/>
      <c r="E93" s="867" t="s">
        <v>112</v>
      </c>
      <c r="F93" s="867"/>
      <c r="G93" s="867"/>
      <c r="H93" s="867"/>
      <c r="I93" s="867"/>
      <c r="J93" s="127">
        <f>IF(A1=75,0,I92+I91+I90)</f>
        <v>105438.08</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73</v>
      </c>
      <c r="D97" s="279">
        <v>82</v>
      </c>
      <c r="E97" s="942">
        <f>(C97+D97)/2</f>
        <v>77.5</v>
      </c>
      <c r="F97" s="871"/>
      <c r="G97" s="871"/>
      <c r="H97" s="224" t="s">
        <v>117</v>
      </c>
      <c r="I97" s="130">
        <f>IF(A1&gt;67,0,INDEX('[1]Transportation Per Student'!F$1:F$65536,MATCH(A1,'[1]Transportation Per Student'!B$1:B$65536)))</f>
        <v>617</v>
      </c>
      <c r="J97" s="138">
        <f>ROUND(I97*E97,2)</f>
        <v>47817.5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965833.89</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921291.29</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v>0</v>
      </c>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c r="I114" s="717">
        <f>IF(I111=1,J111,J109)</f>
        <v>921291.29</v>
      </c>
      <c r="J114" s="718">
        <f>ROUND(IF(E28=0,0,IF(E28&gt;250,-(((250/E28)*I114)*IF(H114="H",0.02,0.05)),IF(H114="H",-0.02*I114,-0.05*I114))),2)</f>
        <v>-46064.56</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919769.33000000007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Payments'!R88</f>
        <v>-152133.71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767635.62000000011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76763.56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6969-2ACC-4EE7-BBC9-F5BA0A5BF404}">
  <dimension ref="A1:Z207"/>
  <sheetViews>
    <sheetView topLeftCell="A102" workbookViewId="0">
      <selection activeCell="H114" sqref="H11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454</v>
      </c>
      <c r="B2" s="102"/>
      <c r="C2" s="102"/>
      <c r="D2" s="102"/>
      <c r="E2" s="100"/>
      <c r="F2" s="100"/>
      <c r="G2" s="100"/>
      <c r="H2" s="100"/>
      <c r="I2" s="100"/>
      <c r="J2" s="100"/>
      <c r="K2" s="6"/>
      <c r="L2" s="6"/>
      <c r="M2" s="6"/>
      <c r="N2" s="6"/>
      <c r="O2" s="6"/>
      <c r="P2" s="6"/>
      <c r="Q2" s="6"/>
      <c r="R2" s="920" t="str">
        <f>Revenue_Estimate_Worksheet_for___________Charter_School</f>
        <v>Revenue Estimate Worksheet: Believers Academy - 3400</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Second'!$C$1:$C$65536,MATCH('3400'!$A$1,'[1]Detail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Second'!$D$1:$D$65536,MATCH('3400'!$A$1,'[1]Detail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2.5</v>
      </c>
      <c r="D15" s="414">
        <v>0</v>
      </c>
      <c r="E15" s="832">
        <f t="shared" si="0"/>
        <v>5</v>
      </c>
      <c r="F15" s="832"/>
      <c r="G15" s="833">
        <v>1</v>
      </c>
      <c r="H15" s="833"/>
      <c r="I15" s="577">
        <f t="shared" si="2"/>
        <v>5</v>
      </c>
      <c r="J15" s="578">
        <f t="shared" si="1"/>
        <v>27816.639999999999</v>
      </c>
      <c r="M15" s="2"/>
      <c r="R15" s="756" t="s">
        <v>23</v>
      </c>
      <c r="S15" s="756"/>
      <c r="T15" s="897">
        <f t="shared" si="3"/>
        <v>5</v>
      </c>
      <c r="U15" s="897"/>
      <c r="V15" s="896">
        <v>1</v>
      </c>
      <c r="W15" s="896"/>
      <c r="X15" s="156">
        <f t="shared" si="4"/>
        <v>5</v>
      </c>
      <c r="Y15" s="266">
        <f t="shared" ref="Y15:Y27" si="6">ROUND(ROUND(ROUND(X15*$E$6,4)*($I$6),2)*(MAX($I$7,1)),2)</f>
        <v>27816.639999999999</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45.43</v>
      </c>
      <c r="D17" s="414">
        <v>0</v>
      </c>
      <c r="E17" s="832">
        <f t="shared" si="0"/>
        <v>90.86</v>
      </c>
      <c r="F17" s="832"/>
      <c r="G17" s="833">
        <v>0.97199999999999998</v>
      </c>
      <c r="H17" s="833"/>
      <c r="I17" s="577">
        <f t="shared" si="2"/>
        <v>88.315899999999999</v>
      </c>
      <c r="J17" s="578">
        <f t="shared" si="1"/>
        <v>491330.26</v>
      </c>
      <c r="M17" s="2"/>
      <c r="R17" s="756" t="s">
        <v>25</v>
      </c>
      <c r="S17" s="756"/>
      <c r="T17" s="897">
        <f t="shared" si="3"/>
        <v>90.86</v>
      </c>
      <c r="U17" s="897"/>
      <c r="V17" s="896">
        <v>1</v>
      </c>
      <c r="W17" s="896"/>
      <c r="X17" s="156">
        <f t="shared" si="4"/>
        <v>90.86</v>
      </c>
      <c r="Y17" s="266">
        <f t="shared" si="6"/>
        <v>505483.92</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47.93</v>
      </c>
      <c r="D28" s="126">
        <f>SUM(D12:D27)</f>
        <v>0</v>
      </c>
      <c r="E28" s="837">
        <f>SUM(E12:E27)</f>
        <v>95.86</v>
      </c>
      <c r="F28" s="837"/>
      <c r="G28" s="838"/>
      <c r="H28" s="838"/>
      <c r="I28" s="23">
        <f>SUM(I12:I27)</f>
        <v>93.315899999999999</v>
      </c>
      <c r="J28" s="127">
        <f>SUM(J12:J27)</f>
        <v>519146.9</v>
      </c>
      <c r="M28" s="2"/>
      <c r="R28" s="899" t="s">
        <v>36</v>
      </c>
      <c r="S28" s="899"/>
      <c r="T28" s="900">
        <f>SUM(T12:T27)</f>
        <v>95.86</v>
      </c>
      <c r="U28" s="900"/>
      <c r="V28" s="901"/>
      <c r="W28" s="901"/>
      <c r="X28" s="158">
        <f>SUM(X12:X27)</f>
        <v>95.86</v>
      </c>
      <c r="Y28" s="266">
        <f>SUM(Y12:Y27)</f>
        <v>533300.55999999994</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93.315899999999999</v>
      </c>
      <c r="H33" s="838" t="s">
        <v>45</v>
      </c>
      <c r="I33" s="838"/>
      <c r="J33" s="32">
        <f>SUM(J32,J28)</f>
        <v>519146.9</v>
      </c>
      <c r="M33" s="2"/>
      <c r="R33" s="854" t="s">
        <v>44</v>
      </c>
      <c r="S33" s="854"/>
      <c r="T33" s="854"/>
      <c r="U33" s="854"/>
      <c r="V33" s="164">
        <f>V32+X28</f>
        <v>95.86</v>
      </c>
      <c r="W33" s="901" t="s">
        <v>45</v>
      </c>
      <c r="X33" s="901"/>
      <c r="Y33" s="165">
        <f>SUM(Y32,Y28)</f>
        <v>533300.55999999994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519146.9</v>
      </c>
      <c r="H36" s="223" t="s">
        <v>49</v>
      </c>
      <c r="I36" s="38">
        <v>6.6699999999999995E-2</v>
      </c>
      <c r="J36" s="131">
        <f>ROUND(G36*I36,2)</f>
        <v>34627.1</v>
      </c>
      <c r="K36" s="39"/>
      <c r="L36" s="233"/>
      <c r="M36" s="233"/>
      <c r="N36" s="233"/>
      <c r="O36" s="31"/>
      <c r="P36" s="232"/>
      <c r="Q36" s="232"/>
      <c r="R36" s="756" t="s">
        <v>47</v>
      </c>
      <c r="S36" s="756"/>
      <c r="T36" s="756"/>
      <c r="U36" s="253"/>
      <c r="V36" s="172">
        <v>533300.56000000006</v>
      </c>
      <c r="W36" s="239" t="s">
        <v>49</v>
      </c>
      <c r="X36" s="174">
        <v>6.6699999999999995E-2</v>
      </c>
      <c r="Y36" s="266">
        <f>ROUND(V36*X36,2)</f>
        <v>35571.15</v>
      </c>
    </row>
    <row r="37" spans="1:25" ht="20.25" customHeight="1" x14ac:dyDescent="0.25">
      <c r="A37" s="757" t="s">
        <v>50</v>
      </c>
      <c r="B37" s="757"/>
      <c r="C37" s="757"/>
      <c r="D37" s="757"/>
      <c r="E37" s="757"/>
      <c r="F37" s="248" t="s">
        <v>48</v>
      </c>
      <c r="G37" s="132">
        <v>519146.9</v>
      </c>
      <c r="H37" s="223" t="s">
        <v>49</v>
      </c>
      <c r="I37" s="38">
        <v>5.4000000000000003E-3</v>
      </c>
      <c r="J37" s="131">
        <f>ROUND(G37*I37,2)</f>
        <v>2803.39</v>
      </c>
      <c r="K37" s="39"/>
      <c r="L37" s="233"/>
      <c r="M37" s="233"/>
      <c r="N37" s="233"/>
      <c r="O37" s="31"/>
      <c r="P37" s="232"/>
      <c r="Q37" s="232"/>
      <c r="R37" s="756" t="s">
        <v>50</v>
      </c>
      <c r="S37" s="756"/>
      <c r="T37" s="756"/>
      <c r="U37" s="253"/>
      <c r="V37" s="172">
        <v>533300.56000000006</v>
      </c>
      <c r="W37" s="239" t="s">
        <v>49</v>
      </c>
      <c r="X37" s="174">
        <v>5.4000000000000003E-3</v>
      </c>
      <c r="Y37" s="266">
        <f>ROUND(V37*X37,2)</f>
        <v>2879.82</v>
      </c>
    </row>
    <row r="38" spans="1:25" ht="20.25" customHeight="1" x14ac:dyDescent="0.25">
      <c r="A38" s="841" t="s">
        <v>51</v>
      </c>
      <c r="B38" s="841"/>
      <c r="C38" s="841"/>
      <c r="D38" s="841"/>
      <c r="E38" s="841"/>
      <c r="F38" s="248" t="s">
        <v>52</v>
      </c>
      <c r="G38" s="40"/>
      <c r="H38" s="223"/>
      <c r="I38" s="41"/>
      <c r="J38" s="131">
        <f>SUM(J36:J37)</f>
        <v>37430.49</v>
      </c>
      <c r="K38" s="39"/>
      <c r="L38" s="233"/>
      <c r="M38" s="233"/>
      <c r="N38" s="233"/>
      <c r="O38" s="31"/>
      <c r="P38" s="232"/>
      <c r="Q38" s="232"/>
      <c r="R38" s="758" t="s">
        <v>51</v>
      </c>
      <c r="S38" s="758"/>
      <c r="T38" s="758"/>
      <c r="U38" s="253" t="s">
        <v>52</v>
      </c>
      <c r="V38" s="175"/>
      <c r="W38" s="239"/>
      <c r="X38" s="176"/>
      <c r="Y38" s="195">
        <f>Y36+Y37</f>
        <v>38450.97</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734">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734">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734">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2.5</v>
      </c>
      <c r="D45" s="414">
        <v>0</v>
      </c>
      <c r="E45" s="847">
        <f t="shared" si="7"/>
        <v>5</v>
      </c>
      <c r="F45" s="847"/>
      <c r="G45" s="47" t="s">
        <v>60</v>
      </c>
      <c r="H45" s="223">
        <v>252</v>
      </c>
      <c r="I45" s="136">
        <f>INDEX('[1]111-112-113 ADDITIONAL FUND'!H$1:H$65536,MATCH($A$1,'[1]111-112-113 ADDITIONAL FUND'!A$1:A$65536))</f>
        <v>3506</v>
      </c>
      <c r="J45" s="734">
        <f t="shared" si="8"/>
        <v>17530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0.4</v>
      </c>
      <c r="D47" s="414">
        <v>0</v>
      </c>
      <c r="E47" s="847">
        <f t="shared" si="7"/>
        <v>0.8</v>
      </c>
      <c r="F47" s="847"/>
      <c r="G47" s="47" t="s">
        <v>61</v>
      </c>
      <c r="H47" s="223">
        <v>251</v>
      </c>
      <c r="I47" s="136">
        <f>INDEX('[1]111-112-113 ADDITIONAL FUND'!J$1:J$65536,MATCH($A$1,'[1]111-112-113 ADDITIONAL FUND'!A$1:A$65536))</f>
        <v>835</v>
      </c>
      <c r="J47" s="734">
        <f t="shared" si="8"/>
        <v>668</v>
      </c>
      <c r="M47" s="2"/>
      <c r="R47" s="906"/>
      <c r="S47" s="906"/>
      <c r="T47" s="888"/>
      <c r="U47" s="888"/>
      <c r="V47" s="182" t="s">
        <v>61</v>
      </c>
      <c r="W47" s="239">
        <v>251</v>
      </c>
      <c r="X47" s="134">
        <f t="shared" si="9"/>
        <v>835</v>
      </c>
      <c r="Y47" s="269">
        <f t="shared" si="10"/>
        <v>0</v>
      </c>
    </row>
    <row r="48" spans="1:25" ht="15.75" customHeight="1" x14ac:dyDescent="0.25">
      <c r="A48" s="846"/>
      <c r="B48" s="846"/>
      <c r="C48" s="414">
        <v>32.520000000000003</v>
      </c>
      <c r="D48" s="414">
        <v>0</v>
      </c>
      <c r="E48" s="847">
        <f t="shared" si="7"/>
        <v>65.040000000000006</v>
      </c>
      <c r="F48" s="847"/>
      <c r="G48" s="47" t="s">
        <v>61</v>
      </c>
      <c r="H48" s="223">
        <v>252</v>
      </c>
      <c r="I48" s="136">
        <f>INDEX('[1]111-112-113 ADDITIONAL FUND'!K$1:K$65536,MATCH($A$1,'[1]111-112-113 ADDITIONAL FUND'!A$1:A$65536))</f>
        <v>3168</v>
      </c>
      <c r="J48" s="734">
        <f t="shared" si="8"/>
        <v>206046.72</v>
      </c>
      <c r="M48" s="2"/>
      <c r="R48" s="906"/>
      <c r="S48" s="906"/>
      <c r="T48" s="888"/>
      <c r="U48" s="888"/>
      <c r="V48" s="182" t="s">
        <v>61</v>
      </c>
      <c r="W48" s="239">
        <v>252</v>
      </c>
      <c r="X48" s="134">
        <f t="shared" si="9"/>
        <v>3168</v>
      </c>
      <c r="Y48" s="269">
        <f t="shared" si="10"/>
        <v>0</v>
      </c>
    </row>
    <row r="49" spans="1:25" ht="15.75" customHeight="1" thickBot="1" x14ac:dyDescent="0.3">
      <c r="A49" s="846"/>
      <c r="B49" s="846"/>
      <c r="C49" s="414">
        <v>12.51</v>
      </c>
      <c r="D49" s="414">
        <v>0</v>
      </c>
      <c r="E49" s="852">
        <f t="shared" si="7"/>
        <v>25.02</v>
      </c>
      <c r="F49" s="852"/>
      <c r="G49" s="47" t="s">
        <v>61</v>
      </c>
      <c r="H49" s="223">
        <v>253</v>
      </c>
      <c r="I49" s="136">
        <f>INDEX('[1]111-112-113 ADDITIONAL FUND'!L$1:L$65536,MATCH($A$1,'[1]111-112-113 ADDITIONAL FUND'!A$1:A$65536))</f>
        <v>6685</v>
      </c>
      <c r="J49" s="734">
        <f t="shared" si="8"/>
        <v>167258.70000000001</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47.93</v>
      </c>
      <c r="D50" s="584">
        <f>SUM(D41:D49)</f>
        <v>0</v>
      </c>
      <c r="E50" s="853">
        <f>SUM(E41:E49)</f>
        <v>95.86</v>
      </c>
      <c r="F50" s="853"/>
      <c r="G50" s="839" t="s">
        <v>63</v>
      </c>
      <c r="H50" s="839"/>
      <c r="I50" s="839"/>
      <c r="J50" s="276">
        <f>SUM(J41:J49)</f>
        <v>391503.42000000004</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95.86</v>
      </c>
      <c r="U52" s="184" t="s">
        <v>66</v>
      </c>
      <c r="V52" s="185"/>
      <c r="W52" s="186" t="s">
        <v>67</v>
      </c>
      <c r="X52" s="884">
        <f>I53</f>
        <v>215320.92</v>
      </c>
      <c r="Y52" s="884"/>
    </row>
    <row r="53" spans="1:25" ht="16.5" customHeight="1" x14ac:dyDescent="0.25">
      <c r="A53" s="848" t="s">
        <v>65</v>
      </c>
      <c r="B53" s="848"/>
      <c r="C53" s="237"/>
      <c r="D53" s="237"/>
      <c r="E53" s="48">
        <f>E28</f>
        <v>95.86</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4.4499999999999997E-4</v>
      </c>
      <c r="Y53" s="885"/>
    </row>
    <row r="54" spans="1:25" ht="22.5" customHeight="1" x14ac:dyDescent="0.25">
      <c r="A54" s="237"/>
      <c r="B54" s="230"/>
      <c r="C54" s="230"/>
      <c r="D54" s="230"/>
      <c r="H54" s="53" t="s">
        <v>68</v>
      </c>
      <c r="I54" s="849">
        <f>IFERROR(ROUND(E53/I53,6),0)</f>
        <v>4.4499999999999997E-4</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95.86</v>
      </c>
      <c r="U55" s="184" t="s">
        <v>66</v>
      </c>
      <c r="V55" s="185"/>
      <c r="W55" s="186" t="s">
        <v>71</v>
      </c>
      <c r="X55" s="884">
        <f>I56</f>
        <v>229051.25000000003</v>
      </c>
      <c r="Y55" s="884"/>
    </row>
    <row r="56" spans="1:25" ht="16.5" customHeight="1" x14ac:dyDescent="0.25">
      <c r="A56" s="848" t="s">
        <v>70</v>
      </c>
      <c r="B56" s="848"/>
      <c r="C56" s="237"/>
      <c r="D56" s="237"/>
      <c r="E56" s="48">
        <f>G33</f>
        <v>93.315899999999999</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4.1899999999999999E-4</v>
      </c>
      <c r="Y56" s="885"/>
    </row>
    <row r="57" spans="1:25" ht="18.75" customHeight="1" x14ac:dyDescent="0.25">
      <c r="A57" s="237"/>
      <c r="H57" s="53" t="s">
        <v>68</v>
      </c>
      <c r="I57" s="849">
        <f>IFERROR(ROUND(E56/I56,6),0)</f>
        <v>4.0700000000000003E-4</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95.86</v>
      </c>
      <c r="U58" s="184" t="s">
        <v>66</v>
      </c>
      <c r="V58" s="883" t="s">
        <v>74</v>
      </c>
      <c r="W58" s="883"/>
      <c r="X58" s="884">
        <f>I59</f>
        <v>186156.17</v>
      </c>
      <c r="Y58" s="884"/>
    </row>
    <row r="59" spans="1:25" ht="18.75" customHeight="1" x14ac:dyDescent="0.25">
      <c r="A59" s="848" t="s">
        <v>73</v>
      </c>
      <c r="B59" s="848"/>
      <c r="C59" s="237"/>
      <c r="D59" s="237"/>
      <c r="E59" s="48">
        <f>E28</f>
        <v>95.86</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5.1500000000000005E-4</v>
      </c>
      <c r="Y59" s="885"/>
    </row>
    <row r="60" spans="1:25" ht="18" customHeight="1" x14ac:dyDescent="0.25">
      <c r="A60" s="237"/>
      <c r="H60" s="53" t="s">
        <v>68</v>
      </c>
      <c r="I60" s="849">
        <f>IFERROR(ROUND(E59/I59,6),0)</f>
        <v>5.1500000000000005E-4</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95.86</v>
      </c>
      <c r="U61" s="184" t="s">
        <v>66</v>
      </c>
      <c r="V61" s="883" t="s">
        <v>76</v>
      </c>
      <c r="W61" s="883"/>
      <c r="X61" s="884">
        <f>I62</f>
        <v>215016.58000000002</v>
      </c>
      <c r="Y61" s="884"/>
    </row>
    <row r="62" spans="1:25" ht="30.75" customHeight="1" x14ac:dyDescent="0.25">
      <c r="A62" s="848" t="s">
        <v>73</v>
      </c>
      <c r="B62" s="848"/>
      <c r="C62" s="237"/>
      <c r="D62" s="237"/>
      <c r="E62" s="48">
        <f>E28</f>
        <v>95.86</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4.46E-4</v>
      </c>
      <c r="Y62" s="885"/>
    </row>
    <row r="63" spans="1:25" ht="19.5" customHeight="1" x14ac:dyDescent="0.25">
      <c r="A63" s="237"/>
      <c r="H63" s="53" t="s">
        <v>68</v>
      </c>
      <c r="I63" s="849">
        <f>IFERROR(ROUND(E62/I62,6),0)</f>
        <v>4.46E-4</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95.86</v>
      </c>
      <c r="U64" s="184" t="s">
        <v>66</v>
      </c>
      <c r="V64" s="883" t="s">
        <v>165</v>
      </c>
      <c r="W64" s="883"/>
      <c r="X64" s="884">
        <f>I65</f>
        <v>185851.83000000002</v>
      </c>
      <c r="Y64" s="884"/>
    </row>
    <row r="65" spans="1:26" ht="49.5" customHeight="1" x14ac:dyDescent="0.25">
      <c r="A65" s="848" t="s">
        <v>73</v>
      </c>
      <c r="B65" s="848"/>
      <c r="C65" s="237"/>
      <c r="D65" s="237"/>
      <c r="E65" s="48">
        <f>E28</f>
        <v>95.86</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5.1599999999999997E-4</v>
      </c>
      <c r="Y65" s="885"/>
    </row>
    <row r="66" spans="1:26" ht="19.5" customHeight="1" x14ac:dyDescent="0.25">
      <c r="A66" s="237"/>
      <c r="H66" s="53" t="s">
        <v>68</v>
      </c>
      <c r="I66" s="849">
        <f>IFERROR(ROUND(E65/I65,6),0)</f>
        <v>5.1599999999999997E-4</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4.46E-4</v>
      </c>
      <c r="Y67" s="271">
        <f>ROUND(V67*X67,2)</f>
        <v>21091.67</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4.46E-4</v>
      </c>
      <c r="J68" s="138">
        <f>ROUND(G68*I68,2)</f>
        <v>21091.67</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4.4499999999999997E-4</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4.4499999999999997E-4</v>
      </c>
      <c r="J70" s="138">
        <f>ROUND(G70*I70,2)</f>
        <v>0</v>
      </c>
      <c r="M70" s="2"/>
      <c r="R70" s="758" t="s">
        <v>167</v>
      </c>
      <c r="S70" s="758"/>
      <c r="T70" s="758"/>
      <c r="U70" s="253"/>
      <c r="V70" s="193">
        <f>G71</f>
        <v>19167881</v>
      </c>
      <c r="W70" s="239" t="s">
        <v>81</v>
      </c>
      <c r="X70" s="176">
        <f>X65</f>
        <v>5.1599999999999997E-4</v>
      </c>
      <c r="Y70" s="266">
        <f t="shared" si="11"/>
        <v>9890.6299999999992</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5.1599999999999997E-4</v>
      </c>
      <c r="J71" s="138">
        <f>ROUND(G71*I71,2)</f>
        <v>9890.6299999999992</v>
      </c>
      <c r="M71" s="2"/>
      <c r="R71" s="240" t="s">
        <v>168</v>
      </c>
      <c r="S71" s="240"/>
      <c r="T71" s="240"/>
      <c r="U71" s="253"/>
      <c r="V71" s="171">
        <f>G72</f>
        <v>11546889</v>
      </c>
      <c r="W71" s="239" t="s">
        <v>81</v>
      </c>
      <c r="X71" s="176">
        <f>X59</f>
        <v>5.1500000000000005E-4</v>
      </c>
      <c r="Y71" s="266">
        <f t="shared" si="11"/>
        <v>5946.65</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5.1500000000000005E-4</v>
      </c>
      <c r="J72" s="138">
        <f>ROUND(G72*I72,2)</f>
        <v>5946.65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4.0700000000000003E-4</v>
      </c>
      <c r="J85" s="138">
        <f>ROUND(G85*I85,2)</f>
        <v>109408.23</v>
      </c>
      <c r="K85" s="70"/>
      <c r="L85" s="70"/>
      <c r="M85" s="71"/>
      <c r="N85" s="70"/>
      <c r="O85" s="70"/>
      <c r="P85" s="70"/>
      <c r="Q85" s="70"/>
      <c r="R85" s="758" t="s">
        <v>172</v>
      </c>
      <c r="S85" s="758"/>
      <c r="T85" s="758"/>
      <c r="U85" s="253"/>
      <c r="V85" s="171">
        <f>G85</f>
        <v>268816278</v>
      </c>
      <c r="W85" s="239" t="s">
        <v>81</v>
      </c>
      <c r="X85" s="176">
        <f>X56</f>
        <v>4.1899999999999999E-4</v>
      </c>
      <c r="Y85" s="266">
        <f t="shared" ref="Y85:Y87" si="12">ROUND(V85*X85,2)</f>
        <v>112634.02</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4.0700000000000003E-4</v>
      </c>
      <c r="J86" s="138">
        <f>ROUND(G86*I86,2)</f>
        <v>0</v>
      </c>
      <c r="K86" s="70"/>
      <c r="L86" s="71"/>
      <c r="M86" s="76"/>
      <c r="N86" s="76"/>
      <c r="O86" s="76"/>
      <c r="P86" s="76"/>
      <c r="Q86" s="70"/>
      <c r="R86" s="758" t="s">
        <v>173</v>
      </c>
      <c r="S86" s="758"/>
      <c r="T86" s="758"/>
      <c r="U86" s="253"/>
      <c r="V86" s="203">
        <f>G86</f>
        <v>0</v>
      </c>
      <c r="W86" s="239" t="s">
        <v>81</v>
      </c>
      <c r="X86" s="176">
        <f>X56</f>
        <v>4.1899999999999999E-4</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4.4499999999999997E-4</v>
      </c>
      <c r="J87" s="62">
        <f>ROUND(G87*I87,2)</f>
        <v>0</v>
      </c>
      <c r="K87" s="77"/>
      <c r="L87" s="70"/>
      <c r="M87" s="71"/>
      <c r="N87" s="70"/>
      <c r="O87" s="70"/>
      <c r="P87" s="70"/>
      <c r="Q87" s="70"/>
      <c r="R87" s="240" t="s">
        <v>174</v>
      </c>
      <c r="S87" s="240"/>
      <c r="T87" s="240"/>
      <c r="U87" s="253"/>
      <c r="V87" s="203">
        <f>G87</f>
        <v>0</v>
      </c>
      <c r="W87" s="239" t="s">
        <v>81</v>
      </c>
      <c r="X87" s="176">
        <f>X53</f>
        <v>4.4499999999999997E-4</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141">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5</v>
      </c>
      <c r="C91" s="245"/>
      <c r="D91" s="915">
        <f>I6</f>
        <v>1.0355000000000001</v>
      </c>
      <c r="E91" s="915"/>
      <c r="F91" s="915"/>
      <c r="G91" s="122">
        <f>'[1]Detail 2025-26 FEFP Second'!AC3</f>
        <v>915.09</v>
      </c>
      <c r="H91" s="47" t="s">
        <v>68</v>
      </c>
      <c r="I91" s="140">
        <f>ROUND(B91*D91*G91,2)</f>
        <v>4737.88</v>
      </c>
      <c r="K91" s="70"/>
      <c r="L91" s="70"/>
      <c r="M91" s="71"/>
      <c r="N91" s="70"/>
      <c r="O91" s="70"/>
      <c r="P91" s="70"/>
      <c r="Q91" s="70"/>
      <c r="R91" s="206" t="s">
        <v>60</v>
      </c>
      <c r="S91" s="251">
        <f>X14+X15+X19+X22+X25</f>
        <v>5</v>
      </c>
      <c r="T91" s="870">
        <f>X6</f>
        <v>1.0355000000000001</v>
      </c>
      <c r="U91" s="870"/>
      <c r="V91" s="122">
        <f>G91</f>
        <v>915.09</v>
      </c>
      <c r="W91" s="182" t="s">
        <v>68</v>
      </c>
      <c r="X91" s="272">
        <f>ROUND(S91*T91*V91,2)</f>
        <v>4737.88</v>
      </c>
      <c r="Y91" s="170"/>
    </row>
    <row r="92" spans="1:26" ht="19.5" customHeight="1" thickBot="1" x14ac:dyDescent="0.3">
      <c r="A92" s="83" t="s">
        <v>61</v>
      </c>
      <c r="B92" s="109">
        <f>I16+I17+I20+I23+I26+I27</f>
        <v>88.315899999999999</v>
      </c>
      <c r="C92" s="109"/>
      <c r="D92" s="915">
        <f>I6</f>
        <v>1.0355000000000001</v>
      </c>
      <c r="E92" s="915"/>
      <c r="F92" s="915"/>
      <c r="G92" s="122">
        <f>'[1]Detail 2025-26 FEFP Second'!AD3</f>
        <v>917.3</v>
      </c>
      <c r="H92" s="47" t="s">
        <v>68</v>
      </c>
      <c r="I92" s="574">
        <f>ROUND(B92*D92*G92,2)</f>
        <v>83888.11</v>
      </c>
      <c r="K92" s="70"/>
      <c r="L92" s="70"/>
      <c r="M92" s="71"/>
      <c r="N92" s="70"/>
      <c r="O92" s="70"/>
      <c r="P92" s="70"/>
      <c r="Q92" s="70"/>
      <c r="R92" s="207" t="s">
        <v>61</v>
      </c>
      <c r="S92" s="208">
        <f>X16+X17+X20+X23+X26+X27</f>
        <v>90.86</v>
      </c>
      <c r="T92" s="870">
        <f>X6</f>
        <v>1.0355000000000001</v>
      </c>
      <c r="U92" s="870"/>
      <c r="V92" s="122">
        <f>G92</f>
        <v>917.3</v>
      </c>
      <c r="W92" s="182" t="s">
        <v>68</v>
      </c>
      <c r="X92" s="272">
        <f>ROUND(S92*T92*V92,2)</f>
        <v>86304.66</v>
      </c>
      <c r="Y92" s="170"/>
    </row>
    <row r="93" spans="1:26" ht="18.75" customHeight="1" thickBot="1" x14ac:dyDescent="0.3">
      <c r="A93" s="247" t="s">
        <v>111</v>
      </c>
      <c r="B93" s="109">
        <f>SUM(B90:B92)</f>
        <v>93.315899999999999</v>
      </c>
      <c r="C93" s="109"/>
      <c r="D93" s="109"/>
      <c r="E93" s="867" t="s">
        <v>112</v>
      </c>
      <c r="F93" s="867"/>
      <c r="G93" s="867"/>
      <c r="H93" s="867"/>
      <c r="I93" s="867"/>
      <c r="J93" s="127">
        <f>IF(A1=75,0,I92+I91+I90)</f>
        <v>88625.99</v>
      </c>
      <c r="K93" s="70"/>
      <c r="L93" s="70"/>
      <c r="M93" s="71"/>
      <c r="N93" s="70"/>
      <c r="O93" s="70"/>
      <c r="P93" s="70"/>
      <c r="Q93" s="70"/>
      <c r="R93" s="252" t="s">
        <v>111</v>
      </c>
      <c r="S93" s="210">
        <f>SUM(S90:S92)</f>
        <v>95.86</v>
      </c>
      <c r="T93" s="874" t="s">
        <v>112</v>
      </c>
      <c r="U93" s="875"/>
      <c r="V93" s="875"/>
      <c r="W93" s="875"/>
      <c r="X93" s="875"/>
      <c r="Y93" s="266">
        <f>IF(R1=75,0,X92+X91+X90)</f>
        <v>91042.540000000008</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40.5</v>
      </c>
      <c r="U96" s="872"/>
      <c r="V96" s="872"/>
      <c r="W96" s="261" t="s">
        <v>117</v>
      </c>
      <c r="X96" s="212">
        <f>I97</f>
        <v>617</v>
      </c>
      <c r="Y96" s="266">
        <f>ROUND(X96*T96,2)</f>
        <v>24988.5</v>
      </c>
    </row>
    <row r="97" spans="1:25" ht="17.25" customHeight="1" x14ac:dyDescent="0.25">
      <c r="A97" s="839" t="s">
        <v>116</v>
      </c>
      <c r="B97" s="839"/>
      <c r="C97" s="279">
        <v>40</v>
      </c>
      <c r="D97" s="279">
        <v>41</v>
      </c>
      <c r="E97" s="942">
        <f>(C97+D97)/2</f>
        <v>40.5</v>
      </c>
      <c r="F97" s="871"/>
      <c r="G97" s="871"/>
      <c r="H97" s="224" t="s">
        <v>117</v>
      </c>
      <c r="I97" s="130">
        <f>IF(A1&gt;67,0,INDEX('[1]Transportation Per Student'!F$1:F$65536,MATCH(A1,'[1]Transportation Per Student'!B$1:B$65536)))</f>
        <v>617</v>
      </c>
      <c r="J97" s="138">
        <f>ROUND(I97*E97,2)</f>
        <v>24988.5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1170601.9900000002</v>
      </c>
      <c r="L107" s="575"/>
      <c r="R107" s="758" t="s">
        <v>125</v>
      </c>
      <c r="S107" s="758"/>
      <c r="T107" s="758"/>
      <c r="U107" s="758"/>
      <c r="V107" s="758"/>
      <c r="W107" s="758"/>
      <c r="X107" s="758"/>
      <c r="Y107" s="219">
        <f>SUM(Y106,Y105,Y97,Y96,Y93,Y86,Y85,Y84,Y70,Y69,Y67,Y33,Y71,Y50,Y87,Y83)</f>
        <v>798894.57</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1133171.5000000002</v>
      </c>
      <c r="R109" s="170" t="s">
        <v>180</v>
      </c>
      <c r="S109" s="170"/>
      <c r="T109" s="170"/>
      <c r="U109" s="170"/>
      <c r="V109" s="170"/>
      <c r="W109" s="170"/>
      <c r="X109" s="170"/>
      <c r="Y109" s="220">
        <f>Y107-Y38</f>
        <v>760443.6</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v>1</v>
      </c>
      <c r="J111" s="137">
        <f>Y109</f>
        <v>760443.6</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760443.6</v>
      </c>
      <c r="J114" s="296">
        <f>ROUND(IF(E28=0,0,IF(E28&gt;250,-(((250/E28)*I114)*IF(H114="H",0.02,0.05)),IF(H114="H",-0.02*I114,-0.05*I114))),2)</f>
        <v>-38022.18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1132579.8100000003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Payments'!R89</f>
        <v>-187998.86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944580.9500000003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94458.1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47C1-D3C6-4039-AF75-2A49B7B2C1FB}">
  <dimension ref="A1:Z207"/>
  <sheetViews>
    <sheetView topLeftCell="A102" workbookViewId="0">
      <selection activeCell="H114" sqref="H11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455</v>
      </c>
      <c r="B2" s="102"/>
      <c r="C2" s="102"/>
      <c r="D2" s="102"/>
      <c r="E2" s="100"/>
      <c r="F2" s="100"/>
      <c r="G2" s="100"/>
      <c r="H2" s="100"/>
      <c r="I2" s="100"/>
      <c r="J2" s="100"/>
      <c r="K2" s="6"/>
      <c r="L2" s="6"/>
      <c r="M2" s="6"/>
      <c r="N2" s="6"/>
      <c r="O2" s="6"/>
      <c r="P2" s="6"/>
      <c r="Q2" s="6"/>
      <c r="R2" s="920" t="str">
        <f>Revenue_Estimate_Worksheet_for___________Charter_School</f>
        <v>Revenue Estimate Worksheet: Quantum High School - 3401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Second'!$C$1:$C$65536,MATCH('3401'!$A$1,'[1]Detail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Second'!$D$1:$D$65536,MATCH('3401'!$A$1,'[1]Detail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0.5</v>
      </c>
      <c r="D14" s="414">
        <v>0</v>
      </c>
      <c r="E14" s="832">
        <f t="shared" si="0"/>
        <v>1</v>
      </c>
      <c r="F14" s="832"/>
      <c r="G14" s="833">
        <v>1</v>
      </c>
      <c r="H14" s="833"/>
      <c r="I14" s="577">
        <f t="shared" si="2"/>
        <v>1</v>
      </c>
      <c r="J14" s="578">
        <f>ROUND(ROUND(ROUND(I14*$E$6,4)*($I$6),2)*(MAX($I$7,1)),2)</f>
        <v>5563.33</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0.5</v>
      </c>
      <c r="D15" s="414">
        <v>0</v>
      </c>
      <c r="E15" s="832">
        <f t="shared" si="0"/>
        <v>1</v>
      </c>
      <c r="F15" s="832"/>
      <c r="G15" s="833">
        <v>1</v>
      </c>
      <c r="H15" s="833"/>
      <c r="I15" s="577">
        <f t="shared" si="2"/>
        <v>1</v>
      </c>
      <c r="J15" s="578">
        <f t="shared" si="1"/>
        <v>5563.33</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159.38</v>
      </c>
      <c r="D16" s="414">
        <v>0</v>
      </c>
      <c r="E16" s="832">
        <f t="shared" si="0"/>
        <v>318.76</v>
      </c>
      <c r="F16" s="832"/>
      <c r="G16" s="833">
        <v>0.97199999999999998</v>
      </c>
      <c r="H16" s="833"/>
      <c r="I16" s="577">
        <f t="shared" si="2"/>
        <v>309.8347</v>
      </c>
      <c r="J16" s="578">
        <f t="shared" si="1"/>
        <v>1723711.84</v>
      </c>
      <c r="M16" s="2"/>
      <c r="R16" s="756" t="s">
        <v>24</v>
      </c>
      <c r="S16" s="756"/>
      <c r="T16" s="897">
        <f t="shared" si="3"/>
        <v>0</v>
      </c>
      <c r="U16" s="897"/>
      <c r="V16" s="896">
        <v>1</v>
      </c>
      <c r="W16" s="896"/>
      <c r="X16" s="156">
        <f t="shared" si="4"/>
        <v>0</v>
      </c>
      <c r="Y16" s="266">
        <f t="shared" si="6"/>
        <v>0</v>
      </c>
    </row>
    <row r="17" spans="1:25" x14ac:dyDescent="0.25">
      <c r="A17" s="757" t="s">
        <v>25</v>
      </c>
      <c r="B17" s="757"/>
      <c r="C17" s="414">
        <v>39.5</v>
      </c>
      <c r="D17" s="414">
        <v>0</v>
      </c>
      <c r="E17" s="832">
        <f t="shared" si="0"/>
        <v>79</v>
      </c>
      <c r="F17" s="832"/>
      <c r="G17" s="833">
        <v>0.97199999999999998</v>
      </c>
      <c r="H17" s="833"/>
      <c r="I17" s="577">
        <f t="shared" si="2"/>
        <v>76.787999999999997</v>
      </c>
      <c r="J17" s="578">
        <f t="shared" si="1"/>
        <v>427196.78</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11.26</v>
      </c>
      <c r="D26" s="414">
        <v>0</v>
      </c>
      <c r="E26" s="832">
        <f t="shared" si="0"/>
        <v>22.52</v>
      </c>
      <c r="F26" s="832"/>
      <c r="G26" s="833">
        <v>1.165</v>
      </c>
      <c r="H26" s="833"/>
      <c r="I26" s="577">
        <f t="shared" si="2"/>
        <v>26.235800000000001</v>
      </c>
      <c r="J26" s="578">
        <f t="shared" si="1"/>
        <v>145958.34</v>
      </c>
      <c r="M26" s="2"/>
      <c r="R26" s="756" t="s">
        <v>34</v>
      </c>
      <c r="S26" s="756"/>
      <c r="T26" s="897">
        <f t="shared" si="3"/>
        <v>0</v>
      </c>
      <c r="U26" s="897"/>
      <c r="V26" s="896">
        <v>1</v>
      </c>
      <c r="W26" s="896"/>
      <c r="X26" s="156">
        <f t="shared" si="4"/>
        <v>0</v>
      </c>
      <c r="Y26" s="266">
        <f t="shared" si="6"/>
        <v>0</v>
      </c>
    </row>
    <row r="27" spans="1:25" x14ac:dyDescent="0.25">
      <c r="A27" s="764" t="s">
        <v>35</v>
      </c>
      <c r="B27" s="764"/>
      <c r="C27" s="415">
        <v>1.7</v>
      </c>
      <c r="D27" s="415">
        <v>0</v>
      </c>
      <c r="E27" s="834">
        <f t="shared" si="0"/>
        <v>3.4</v>
      </c>
      <c r="F27" s="834"/>
      <c r="G27" s="835">
        <v>1.081</v>
      </c>
      <c r="H27" s="835"/>
      <c r="I27" s="22">
        <f t="shared" si="2"/>
        <v>3.6753999999999998</v>
      </c>
      <c r="J27" s="127">
        <f t="shared" si="1"/>
        <v>20447.45</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212.83999999999997</v>
      </c>
      <c r="D28" s="126">
        <f>SUM(D12:D27)</f>
        <v>0</v>
      </c>
      <c r="E28" s="837">
        <f>SUM(E12:E27)</f>
        <v>425.67999999999995</v>
      </c>
      <c r="F28" s="837"/>
      <c r="G28" s="838"/>
      <c r="H28" s="838"/>
      <c r="I28" s="23">
        <f>SUM(I12:I27)</f>
        <v>418.53390000000002</v>
      </c>
      <c r="J28" s="127">
        <f>SUM(J12:J27)</f>
        <v>2328441.0700000003</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418.53390000000002</v>
      </c>
      <c r="H33" s="838" t="s">
        <v>45</v>
      </c>
      <c r="I33" s="838"/>
      <c r="J33" s="32">
        <f>SUM(J32,J28)</f>
        <v>2328441.0700000003</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2328441.0699999998</v>
      </c>
      <c r="H36" s="223" t="s">
        <v>49</v>
      </c>
      <c r="I36" s="38">
        <v>6.6699999999999995E-2</v>
      </c>
      <c r="J36" s="131">
        <f>ROUND(G36*I36,2)</f>
        <v>155307.01999999999</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2328441.0699999998</v>
      </c>
      <c r="H37" s="223" t="s">
        <v>49</v>
      </c>
      <c r="I37" s="38">
        <v>5.4000000000000003E-3</v>
      </c>
      <c r="J37" s="131">
        <f>ROUND(G37*I37,2)</f>
        <v>12573.58</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167880.59999999998</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734">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734">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0.5</v>
      </c>
      <c r="D44" s="414">
        <v>0</v>
      </c>
      <c r="E44" s="847">
        <f t="shared" si="7"/>
        <v>1</v>
      </c>
      <c r="F44" s="847"/>
      <c r="G44" s="47" t="s">
        <v>60</v>
      </c>
      <c r="H44" s="223">
        <v>251</v>
      </c>
      <c r="I44" s="136">
        <f>INDEX('[1]111-112-113 ADDITIONAL FUND'!G$1:G$65536,MATCH($A$1,'[1]111-112-113 ADDITIONAL FUND'!A$1:A$65536))</f>
        <v>1173</v>
      </c>
      <c r="J44" s="734">
        <f t="shared" si="8"/>
        <v>1173</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734">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35</v>
      </c>
      <c r="D47" s="414">
        <v>0</v>
      </c>
      <c r="E47" s="847">
        <f t="shared" si="7"/>
        <v>70</v>
      </c>
      <c r="F47" s="847"/>
      <c r="G47" s="47" t="s">
        <v>61</v>
      </c>
      <c r="H47" s="223">
        <v>251</v>
      </c>
      <c r="I47" s="136">
        <f>INDEX('[1]111-112-113 ADDITIONAL FUND'!J$1:J$65536,MATCH($A$1,'[1]111-112-113 ADDITIONAL FUND'!A$1:A$65536))</f>
        <v>835</v>
      </c>
      <c r="J47" s="734">
        <f t="shared" si="8"/>
        <v>58450</v>
      </c>
      <c r="M47" s="2"/>
      <c r="R47" s="906"/>
      <c r="S47" s="906"/>
      <c r="T47" s="888"/>
      <c r="U47" s="888"/>
      <c r="V47" s="182" t="s">
        <v>61</v>
      </c>
      <c r="W47" s="239">
        <v>251</v>
      </c>
      <c r="X47" s="134">
        <f t="shared" si="9"/>
        <v>835</v>
      </c>
      <c r="Y47" s="269">
        <f t="shared" si="10"/>
        <v>0</v>
      </c>
    </row>
    <row r="48" spans="1:25" ht="15.75" customHeight="1" x14ac:dyDescent="0.25">
      <c r="A48" s="846"/>
      <c r="B48" s="846"/>
      <c r="C48" s="414">
        <v>4</v>
      </c>
      <c r="D48" s="414">
        <v>0</v>
      </c>
      <c r="E48" s="847">
        <f t="shared" si="7"/>
        <v>8</v>
      </c>
      <c r="F48" s="847"/>
      <c r="G48" s="47" t="s">
        <v>61</v>
      </c>
      <c r="H48" s="223">
        <v>252</v>
      </c>
      <c r="I48" s="136">
        <f>INDEX('[1]111-112-113 ADDITIONAL FUND'!K$1:K$65536,MATCH($A$1,'[1]111-112-113 ADDITIONAL FUND'!A$1:A$65536))</f>
        <v>3168</v>
      </c>
      <c r="J48" s="734">
        <f t="shared" si="8"/>
        <v>25344</v>
      </c>
      <c r="M48" s="2"/>
      <c r="R48" s="906"/>
      <c r="S48" s="906"/>
      <c r="T48" s="888"/>
      <c r="U48" s="888"/>
      <c r="V48" s="182" t="s">
        <v>61</v>
      </c>
      <c r="W48" s="239">
        <v>252</v>
      </c>
      <c r="X48" s="134">
        <f t="shared" si="9"/>
        <v>3168</v>
      </c>
      <c r="Y48" s="269">
        <f t="shared" si="10"/>
        <v>0</v>
      </c>
    </row>
    <row r="49" spans="1:25" ht="15.75" customHeight="1" thickBot="1" x14ac:dyDescent="0.3">
      <c r="A49" s="846"/>
      <c r="B49" s="846"/>
      <c r="C49" s="414">
        <v>0.5</v>
      </c>
      <c r="D49" s="414">
        <v>0</v>
      </c>
      <c r="E49" s="852">
        <f t="shared" si="7"/>
        <v>1</v>
      </c>
      <c r="F49" s="852"/>
      <c r="G49" s="47" t="s">
        <v>61</v>
      </c>
      <c r="H49" s="223">
        <v>253</v>
      </c>
      <c r="I49" s="136">
        <f>INDEX('[1]111-112-113 ADDITIONAL FUND'!L$1:L$65536,MATCH($A$1,'[1]111-112-113 ADDITIONAL FUND'!A$1:A$65536))</f>
        <v>6685</v>
      </c>
      <c r="J49" s="734">
        <f t="shared" si="8"/>
        <v>6685</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40</v>
      </c>
      <c r="D50" s="584">
        <f>SUM(D41:D49)</f>
        <v>0</v>
      </c>
      <c r="E50" s="853">
        <f>SUM(E41:E49)</f>
        <v>80</v>
      </c>
      <c r="F50" s="853"/>
      <c r="G50" s="839" t="s">
        <v>63</v>
      </c>
      <c r="H50" s="839"/>
      <c r="I50" s="839"/>
      <c r="J50" s="276">
        <f>SUM(J41:J49)</f>
        <v>91652</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425.67999999999995</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1.977E-3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418.53390000000002</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1.8270000000000001E-3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425.67999999999995</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2.287E-3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425.67999999999995</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1.98E-3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425.67999999999995</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2.2899999999999999E-3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1.98E-3</v>
      </c>
      <c r="J68" s="138">
        <f>ROUND(G68*I68,2)</f>
        <v>93635.68</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1.977E-3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2.2899999999999999E-3</v>
      </c>
      <c r="J71" s="138">
        <f>ROUND(G71*I71,2)</f>
        <v>43894.45</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2.287E-3</v>
      </c>
      <c r="J72" s="138">
        <f>ROUND(G72*I72,2)</f>
        <v>26407.74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v>3.25</v>
      </c>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3.25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817" t="s">
        <v>101</v>
      </c>
      <c r="B84" s="817"/>
      <c r="C84" s="817"/>
      <c r="D84" s="230"/>
      <c r="G84" s="121">
        <f>INDEX('[1]Detail 2025-26 FEFP Second'!O$1:O$65536,MATCH(A1,'[1]Detail 2025-26 FEFP Second'!A$1:A$65536))</f>
        <v>63269727</v>
      </c>
      <c r="H84" s="223" t="s">
        <v>81</v>
      </c>
      <c r="I84" s="41">
        <f>IFERROR(ROUND(J81/J82,6),0)</f>
        <v>2.8400000000000002E-4</v>
      </c>
      <c r="J84" s="735">
        <f>ROUND(G84*I84,2)</f>
        <v>17968.599999999999</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1.8270000000000001E-3</v>
      </c>
      <c r="J85" s="735">
        <f>ROUND(G85*I85,2)</f>
        <v>491127.34</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1.8270000000000001E-3</v>
      </c>
      <c r="J86" s="735">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1.977E-3</v>
      </c>
      <c r="J87" s="735">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734">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2</v>
      </c>
      <c r="C91" s="245"/>
      <c r="D91" s="915">
        <f>I6</f>
        <v>1.0355000000000001</v>
      </c>
      <c r="E91" s="915"/>
      <c r="F91" s="915"/>
      <c r="G91" s="122">
        <f>'[1]Detail 2025-26 FEFP Second'!AC3</f>
        <v>915.09</v>
      </c>
      <c r="H91" s="47" t="s">
        <v>68</v>
      </c>
      <c r="I91" s="734">
        <f>ROUND(B91*D91*G91,2)</f>
        <v>1895.15</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416.53390000000002</v>
      </c>
      <c r="C92" s="109"/>
      <c r="D92" s="915">
        <f>I6</f>
        <v>1.0355000000000001</v>
      </c>
      <c r="E92" s="915"/>
      <c r="F92" s="915"/>
      <c r="G92" s="122">
        <f>'[1]Detail 2025-26 FEFP Second'!AD3</f>
        <v>917.3</v>
      </c>
      <c r="H92" s="47" t="s">
        <v>68</v>
      </c>
      <c r="I92" s="734">
        <f>ROUND(B92*D92*G92,2)</f>
        <v>395650.62</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418.53390000000002</v>
      </c>
      <c r="C93" s="109"/>
      <c r="D93" s="109"/>
      <c r="E93" s="867" t="s">
        <v>112</v>
      </c>
      <c r="F93" s="867"/>
      <c r="G93" s="867"/>
      <c r="H93" s="867"/>
      <c r="I93" s="867"/>
      <c r="J93" s="127">
        <f>IF(A1=75,0,I92+I91+I90)</f>
        <v>397545.77</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276</v>
      </c>
      <c r="D97" s="279">
        <v>308</v>
      </c>
      <c r="E97" s="942">
        <f>(C97+D97)/2</f>
        <v>292</v>
      </c>
      <c r="F97" s="871"/>
      <c r="G97" s="871"/>
      <c r="H97" s="224" t="s">
        <v>117</v>
      </c>
      <c r="I97" s="130">
        <f>IF(A1&gt;67,0,INDEX('[1]Transportation Per Student'!F$1:F$65536,MATCH(A1,'[1]Transportation Per Student'!B$1:B$65536)))</f>
        <v>617</v>
      </c>
      <c r="J97" s="138">
        <f>ROUND(I97*E97,2)</f>
        <v>180164</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3670836.6500000008</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3502956.0500000007</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3502956.0500000007</v>
      </c>
      <c r="J114" s="296">
        <f>ROUND(IF(E28=0,0,IF(E28&gt;250,-(((250/E28)*I114)*IF(H114="H",0.02,0.05)),IF(H114="H",-0.02*I114,-0.05*I114))),2)</f>
        <v>-102863.54</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3567973.1100000008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Payments'!R90</f>
        <v>-587686.14999999991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2980286.9600000009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298028.7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72284.259999999995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C8BF-EA8A-4C5D-89D0-AC1F2BF608C9}">
  <dimension ref="A1:Z207"/>
  <sheetViews>
    <sheetView topLeftCell="A102" workbookViewId="0">
      <selection activeCell="H114" sqref="H11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456</v>
      </c>
      <c r="B2" s="102"/>
      <c r="C2" s="102"/>
      <c r="D2" s="102"/>
      <c r="E2" s="100"/>
      <c r="F2" s="100"/>
      <c r="G2" s="100"/>
      <c r="H2" s="100"/>
      <c r="I2" s="100"/>
      <c r="J2" s="100"/>
      <c r="K2" s="6"/>
      <c r="L2" s="6"/>
      <c r="M2" s="6"/>
      <c r="N2" s="6"/>
      <c r="O2" s="6"/>
      <c r="P2" s="6"/>
      <c r="Q2" s="6"/>
      <c r="R2" s="920" t="str">
        <f>Revenue_Estimate_Worksheet_for___________Charter_School</f>
        <v>Revenue Estimate Worksheet: Somerset Academy Boca East - 3413</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Second'!$C$1:$C$65536,MATCH('3413'!$A$1,'[1]Detail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Second'!$D$1:$D$65536,MATCH('3413'!$A$1,'[1]Detail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99.81</v>
      </c>
      <c r="D12" s="410">
        <v>0</v>
      </c>
      <c r="E12" s="824">
        <f t="shared" ref="E12:E27" si="0">IF($D$28=0,C12*2,C12+D12)</f>
        <v>199.62</v>
      </c>
      <c r="F12" s="824"/>
      <c r="G12" s="825">
        <v>1.1080000000000001</v>
      </c>
      <c r="H12" s="825"/>
      <c r="I12" s="577">
        <f>ROUND(E12*G12,4)</f>
        <v>221.179</v>
      </c>
      <c r="J12" s="578">
        <f t="shared" ref="J12:J27" si="1">ROUND(ROUND(ROUND(I12*$E$6,4)*($I$6),2)*(MAX($I$7,1)),2)</f>
        <v>1230491.17</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18</v>
      </c>
      <c r="D13" s="414">
        <v>0</v>
      </c>
      <c r="E13" s="832">
        <f t="shared" si="0"/>
        <v>36</v>
      </c>
      <c r="F13" s="832"/>
      <c r="G13" s="833">
        <v>1.1080000000000001</v>
      </c>
      <c r="H13" s="833"/>
      <c r="I13" s="577">
        <f t="shared" ref="I13:I27" si="2">ROUND(E13*G13,4)</f>
        <v>39.887999999999998</v>
      </c>
      <c r="J13" s="578">
        <f t="shared" si="1"/>
        <v>221910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47.68</v>
      </c>
      <c r="D14" s="414">
        <v>0</v>
      </c>
      <c r="E14" s="832">
        <f t="shared" si="0"/>
        <v>95.36</v>
      </c>
      <c r="F14" s="832"/>
      <c r="G14" s="833">
        <v>1</v>
      </c>
      <c r="H14" s="833"/>
      <c r="I14" s="577">
        <f t="shared" si="2"/>
        <v>95.36</v>
      </c>
      <c r="J14" s="578">
        <f>ROUND(ROUND(ROUND(I14*$E$6,4)*($I$6),2)*(MAX($I$7,1)),2)</f>
        <v>530518.89</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15</v>
      </c>
      <c r="D15" s="414">
        <v>0</v>
      </c>
      <c r="E15" s="832">
        <f t="shared" si="0"/>
        <v>30</v>
      </c>
      <c r="F15" s="832"/>
      <c r="G15" s="833">
        <v>1</v>
      </c>
      <c r="H15" s="833"/>
      <c r="I15" s="577">
        <f t="shared" si="2"/>
        <v>30</v>
      </c>
      <c r="J15" s="578">
        <f t="shared" si="1"/>
        <v>166899.82</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11.690000000000001</v>
      </c>
      <c r="D24" s="414">
        <v>0</v>
      </c>
      <c r="E24" s="832">
        <f t="shared" si="0"/>
        <v>23.380000000000003</v>
      </c>
      <c r="F24" s="832"/>
      <c r="G24" s="833">
        <v>1.165</v>
      </c>
      <c r="H24" s="833"/>
      <c r="I24" s="577">
        <f t="shared" si="2"/>
        <v>27.2377</v>
      </c>
      <c r="J24" s="578">
        <f t="shared" si="1"/>
        <v>151532.24</v>
      </c>
      <c r="M24" s="2"/>
      <c r="R24" s="756" t="s">
        <v>32</v>
      </c>
      <c r="S24" s="756"/>
      <c r="T24" s="897">
        <f t="shared" si="3"/>
        <v>0</v>
      </c>
      <c r="U24" s="897"/>
      <c r="V24" s="896">
        <v>1</v>
      </c>
      <c r="W24" s="896"/>
      <c r="X24" s="156">
        <f t="shared" si="4"/>
        <v>0</v>
      </c>
      <c r="Y24" s="266">
        <f t="shared" si="6"/>
        <v>0</v>
      </c>
    </row>
    <row r="25" spans="1:25" x14ac:dyDescent="0.25">
      <c r="A25" s="757" t="s">
        <v>33</v>
      </c>
      <c r="B25" s="757"/>
      <c r="C25" s="414">
        <v>2.83</v>
      </c>
      <c r="D25" s="414">
        <v>0</v>
      </c>
      <c r="E25" s="832">
        <f t="shared" si="0"/>
        <v>5.66</v>
      </c>
      <c r="F25" s="832"/>
      <c r="G25" s="833">
        <v>1.165</v>
      </c>
      <c r="H25" s="833"/>
      <c r="I25" s="577">
        <f t="shared" si="2"/>
        <v>6.5938999999999997</v>
      </c>
      <c r="J25" s="578">
        <f t="shared" si="1"/>
        <v>36684.019999999997</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195.01000000000002</v>
      </c>
      <c r="D28" s="126">
        <f>SUM(D12:D27)</f>
        <v>0</v>
      </c>
      <c r="E28" s="837">
        <f>SUM(E12:E27)</f>
        <v>390.02000000000004</v>
      </c>
      <c r="F28" s="837"/>
      <c r="G28" s="838"/>
      <c r="H28" s="838"/>
      <c r="I28" s="23">
        <f>SUM(I12:I27)</f>
        <v>420.25860000000006</v>
      </c>
      <c r="J28" s="127">
        <f>SUM(J12:J27)</f>
        <v>2338036.14</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420.25860000000006</v>
      </c>
      <c r="H33" s="838" t="s">
        <v>45</v>
      </c>
      <c r="I33" s="838"/>
      <c r="J33" s="32">
        <f>SUM(J32,J28)</f>
        <v>2338036.14</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2338036.14</v>
      </c>
      <c r="H36" s="223" t="s">
        <v>49</v>
      </c>
      <c r="I36" s="38">
        <v>6.6699999999999995E-2</v>
      </c>
      <c r="J36" s="131">
        <f>ROUND(G36*I36,2)</f>
        <v>155947.01</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2338036.14</v>
      </c>
      <c r="H37" s="223" t="s">
        <v>49</v>
      </c>
      <c r="I37" s="38">
        <v>5.4000000000000003E-3</v>
      </c>
      <c r="J37" s="131">
        <f>ROUND(G37*I37,2)</f>
        <v>12625.4</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168572.41</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16.5</v>
      </c>
      <c r="D41" s="414">
        <v>0</v>
      </c>
      <c r="E41" s="847">
        <f t="shared" ref="E41:E49" si="7">IF($D$50=0,C41*2,C41+D41)</f>
        <v>33</v>
      </c>
      <c r="F41" s="847"/>
      <c r="G41" s="223" t="s">
        <v>59</v>
      </c>
      <c r="H41" s="223">
        <v>251</v>
      </c>
      <c r="I41" s="136">
        <f>INDEX('[1]111-112-113 ADDITIONAL FUND'!D$1:D$65536,MATCH($A$1,'[1]111-112-113 ADDITIONAL FUND'!A$1:A$65536))</f>
        <v>1047</v>
      </c>
      <c r="J41" s="734">
        <f t="shared" ref="J41:J49" si="8">ROUND(E41*I41,2)</f>
        <v>34551</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1.5</v>
      </c>
      <c r="D42" s="414">
        <v>0</v>
      </c>
      <c r="E42" s="847">
        <f t="shared" si="7"/>
        <v>3</v>
      </c>
      <c r="F42" s="847"/>
      <c r="G42" s="223" t="s">
        <v>59</v>
      </c>
      <c r="H42" s="223">
        <v>252</v>
      </c>
      <c r="I42" s="136">
        <f>INDEX('[1]111-112-113 ADDITIONAL FUND'!E$1:E$65536,MATCH($A$1,'[1]111-112-113 ADDITIONAL FUND'!A$1:A$65536))</f>
        <v>3380</v>
      </c>
      <c r="J42" s="734">
        <f t="shared" si="8"/>
        <v>10140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14</v>
      </c>
      <c r="D44" s="414">
        <v>0</v>
      </c>
      <c r="E44" s="847">
        <f t="shared" si="7"/>
        <v>28</v>
      </c>
      <c r="F44" s="847"/>
      <c r="G44" s="47" t="s">
        <v>60</v>
      </c>
      <c r="H44" s="223">
        <v>251</v>
      </c>
      <c r="I44" s="136">
        <f>INDEX('[1]111-112-113 ADDITIONAL FUND'!G$1:G$65536,MATCH($A$1,'[1]111-112-113 ADDITIONAL FUND'!A$1:A$65536))</f>
        <v>1173</v>
      </c>
      <c r="J44" s="734">
        <f t="shared" si="8"/>
        <v>32844</v>
      </c>
      <c r="L44" s="3"/>
      <c r="M44" s="2"/>
      <c r="Q44" s="4"/>
      <c r="R44" s="906"/>
      <c r="S44" s="906"/>
      <c r="T44" s="888"/>
      <c r="U44" s="888"/>
      <c r="V44" s="182" t="s">
        <v>60</v>
      </c>
      <c r="W44" s="239">
        <v>251</v>
      </c>
      <c r="X44" s="134">
        <f t="shared" si="9"/>
        <v>1173</v>
      </c>
      <c r="Y44" s="269">
        <f t="shared" si="10"/>
        <v>0</v>
      </c>
    </row>
    <row r="45" spans="1:25" x14ac:dyDescent="0.25">
      <c r="A45" s="846"/>
      <c r="B45" s="846"/>
      <c r="C45" s="414">
        <v>1</v>
      </c>
      <c r="D45" s="414">
        <v>0</v>
      </c>
      <c r="E45" s="847">
        <f t="shared" si="7"/>
        <v>2</v>
      </c>
      <c r="F45" s="847"/>
      <c r="G45" s="47" t="s">
        <v>60</v>
      </c>
      <c r="H45" s="223">
        <v>252</v>
      </c>
      <c r="I45" s="136">
        <f>INDEX('[1]111-112-113 ADDITIONAL FUND'!H$1:H$65536,MATCH($A$1,'[1]111-112-113 ADDITIONAL FUND'!A$1:A$65536))</f>
        <v>3506</v>
      </c>
      <c r="J45" s="734">
        <f t="shared" si="8"/>
        <v>7012</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734">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734">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33</v>
      </c>
      <c r="D50" s="584">
        <f>SUM(D41:D49)</f>
        <v>0</v>
      </c>
      <c r="E50" s="853">
        <f>SUM(E41:E49)</f>
        <v>66</v>
      </c>
      <c r="F50" s="853"/>
      <c r="G50" s="839" t="s">
        <v>63</v>
      </c>
      <c r="H50" s="839"/>
      <c r="I50" s="839"/>
      <c r="J50" s="276">
        <f>SUM(J41:J49)</f>
        <v>84547</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390.02000000000004</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1.8109999999999999E-3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420.25860000000006</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1.835E-3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390.02000000000004</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2.0950000000000001E-3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390.02000000000004</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1.8140000000000001E-3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390.02000000000004</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2.0990000000000002E-3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1.8140000000000001E-3</v>
      </c>
      <c r="J68" s="138">
        <f>ROUND(G68*I68,2)</f>
        <v>85785.42</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1.8109999999999999E-3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2.0990000000000002E-3</v>
      </c>
      <c r="J71" s="138">
        <f>ROUND(G71*I71,2)</f>
        <v>40233.379999999997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2.0950000000000001E-3</v>
      </c>
      <c r="J72" s="138">
        <f>ROUND(G72*I72,2)</f>
        <v>24190.73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1.835E-3</v>
      </c>
      <c r="J85" s="138">
        <f>ROUND(G85*I85,2)</f>
        <v>493277.87</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1.835E-3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1.8109999999999999E-3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288.30470000000003</v>
      </c>
      <c r="C90" s="245"/>
      <c r="D90" s="915">
        <f>I6</f>
        <v>1.0355000000000001</v>
      </c>
      <c r="E90" s="915"/>
      <c r="F90" s="915"/>
      <c r="G90" s="122">
        <f>'[1]Detail 2025-26 FEFP Second'!AB3</f>
        <v>958.42</v>
      </c>
      <c r="H90" s="47" t="s">
        <v>68</v>
      </c>
      <c r="I90" s="141">
        <f>ROUND(B90*D90*G90,2)</f>
        <v>286126.24</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131.9539</v>
      </c>
      <c r="C91" s="245"/>
      <c r="D91" s="915">
        <f>I6</f>
        <v>1.0355000000000001</v>
      </c>
      <c r="E91" s="915"/>
      <c r="F91" s="915"/>
      <c r="G91" s="122">
        <f>'[1]Detail 2025-26 FEFP Second'!AC3</f>
        <v>915.09</v>
      </c>
      <c r="H91" s="47" t="s">
        <v>68</v>
      </c>
      <c r="I91" s="140">
        <f>ROUND(B91*D91*G91,2)</f>
        <v>125036.31</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420.2586</v>
      </c>
      <c r="C93" s="109"/>
      <c r="D93" s="109"/>
      <c r="E93" s="867" t="s">
        <v>112</v>
      </c>
      <c r="F93" s="867"/>
      <c r="G93" s="867"/>
      <c r="H93" s="867"/>
      <c r="I93" s="867"/>
      <c r="J93" s="127">
        <f>IF(A1=75,0,I92+I91+I90)</f>
        <v>411162.55</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0</v>
      </c>
      <c r="D97" s="279">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3477233.0900000003</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3308660.68</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t="s">
        <v>436</v>
      </c>
      <c r="I114" s="295">
        <f>IF(I111=1,J111,J109)</f>
        <v>3308660.68</v>
      </c>
      <c r="J114" s="296">
        <f>ROUND(IF(E28=0,0,IF(E28&gt;250,-(((250/E28)*I114)*IF(H114="H",0.02,0.05)),IF(H114="H",-0.02*I114,-0.05*I114))),2)</f>
        <v>-42416.55</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3434816.5400000005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Payments'!R91</f>
        <v>-569315.72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2865500.8200000003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286550.08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23756.66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0756-2051-49F0-B360-298BAF76413B}">
  <dimension ref="A1:Z207"/>
  <sheetViews>
    <sheetView topLeftCell="A102" workbookViewId="0">
      <selection activeCell="H114" sqref="H11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457</v>
      </c>
      <c r="B2" s="102"/>
      <c r="C2" s="102"/>
      <c r="D2" s="102"/>
      <c r="E2" s="100"/>
      <c r="F2" s="100"/>
      <c r="G2" s="100"/>
      <c r="H2" s="100"/>
      <c r="I2" s="100"/>
      <c r="J2" s="100"/>
      <c r="K2" s="6"/>
      <c r="L2" s="6"/>
      <c r="M2" s="6"/>
      <c r="N2" s="6"/>
      <c r="O2" s="6"/>
      <c r="P2" s="6"/>
      <c r="Q2" s="6"/>
      <c r="R2" s="920" t="str">
        <f>Revenue_Estimate_Worksheet_for___________Charter_School</f>
        <v>Revenue Estimate Worksheet: Worthington High School - 3421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Second'!$C$1:$C$65536,MATCH('3421'!$A$1,'[1]Detail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Second'!$D$1:$D$65536,MATCH('3421'!$A$1,'[1]Detail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187.9</v>
      </c>
      <c r="D16" s="414">
        <v>0</v>
      </c>
      <c r="E16" s="832">
        <f t="shared" si="0"/>
        <v>375.8</v>
      </c>
      <c r="F16" s="832"/>
      <c r="G16" s="833">
        <v>0.97199999999999998</v>
      </c>
      <c r="H16" s="833"/>
      <c r="I16" s="577">
        <f t="shared" si="2"/>
        <v>365.27760000000001</v>
      </c>
      <c r="J16" s="578">
        <f t="shared" si="1"/>
        <v>2032158.84</v>
      </c>
      <c r="M16" s="2"/>
      <c r="R16" s="756" t="s">
        <v>24</v>
      </c>
      <c r="S16" s="756"/>
      <c r="T16" s="897">
        <f t="shared" si="3"/>
        <v>0</v>
      </c>
      <c r="U16" s="897"/>
      <c r="V16" s="896">
        <v>1</v>
      </c>
      <c r="W16" s="896"/>
      <c r="X16" s="156">
        <f t="shared" si="4"/>
        <v>0</v>
      </c>
      <c r="Y16" s="266">
        <f t="shared" si="6"/>
        <v>0</v>
      </c>
    </row>
    <row r="17" spans="1:25" x14ac:dyDescent="0.25">
      <c r="A17" s="757" t="s">
        <v>25</v>
      </c>
      <c r="B17" s="757"/>
      <c r="C17" s="414">
        <v>44.34</v>
      </c>
      <c r="D17" s="414">
        <v>0</v>
      </c>
      <c r="E17" s="832">
        <f t="shared" si="0"/>
        <v>88.68</v>
      </c>
      <c r="F17" s="832"/>
      <c r="G17" s="833">
        <v>0.97199999999999998</v>
      </c>
      <c r="H17" s="833"/>
      <c r="I17" s="577">
        <f t="shared" si="2"/>
        <v>86.197000000000003</v>
      </c>
      <c r="J17" s="578">
        <f t="shared" si="1"/>
        <v>479542.12</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4.45</v>
      </c>
      <c r="D26" s="414">
        <v>0</v>
      </c>
      <c r="E26" s="832">
        <f t="shared" si="0"/>
        <v>8.9</v>
      </c>
      <c r="F26" s="832"/>
      <c r="G26" s="833">
        <v>1.165</v>
      </c>
      <c r="H26" s="833"/>
      <c r="I26" s="577">
        <f t="shared" si="2"/>
        <v>10.368499999999999</v>
      </c>
      <c r="J26" s="578">
        <f t="shared" si="1"/>
        <v>57683.360000000001</v>
      </c>
      <c r="M26" s="2"/>
      <c r="R26" s="756" t="s">
        <v>34</v>
      </c>
      <c r="S26" s="756"/>
      <c r="T26" s="897">
        <f t="shared" si="3"/>
        <v>0</v>
      </c>
      <c r="U26" s="897"/>
      <c r="V26" s="896">
        <v>1</v>
      </c>
      <c r="W26" s="896"/>
      <c r="X26" s="156">
        <f t="shared" si="4"/>
        <v>0</v>
      </c>
      <c r="Y26" s="266">
        <f t="shared" si="6"/>
        <v>0</v>
      </c>
    </row>
    <row r="27" spans="1:25" x14ac:dyDescent="0.25">
      <c r="A27" s="764" t="s">
        <v>35</v>
      </c>
      <c r="B27" s="764"/>
      <c r="C27" s="415">
        <v>2.9</v>
      </c>
      <c r="D27" s="415">
        <v>0</v>
      </c>
      <c r="E27" s="834">
        <f t="shared" si="0"/>
        <v>5.8</v>
      </c>
      <c r="F27" s="834"/>
      <c r="G27" s="835">
        <v>1.081</v>
      </c>
      <c r="H27" s="835"/>
      <c r="I27" s="22">
        <f t="shared" si="2"/>
        <v>6.2698</v>
      </c>
      <c r="J27" s="127">
        <f t="shared" si="1"/>
        <v>34880.949999999997</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239.59</v>
      </c>
      <c r="D28" s="126">
        <f>SUM(D12:D27)</f>
        <v>0</v>
      </c>
      <c r="E28" s="837">
        <f>SUM(E12:E27)</f>
        <v>479.18</v>
      </c>
      <c r="F28" s="837"/>
      <c r="G28" s="838"/>
      <c r="H28" s="838"/>
      <c r="I28" s="23">
        <f>SUM(I12:I27)</f>
        <v>468.11289999999997</v>
      </c>
      <c r="J28" s="127">
        <f>SUM(J12:J27)</f>
        <v>2604265.27</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468.11289999999997</v>
      </c>
      <c r="H33" s="838" t="s">
        <v>45</v>
      </c>
      <c r="I33" s="838"/>
      <c r="J33" s="32">
        <f>SUM(J32,J28)</f>
        <v>2604265.27</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2604265.27</v>
      </c>
      <c r="H36" s="223" t="s">
        <v>49</v>
      </c>
      <c r="I36" s="38">
        <v>6.6699999999999995E-2</v>
      </c>
      <c r="J36" s="131">
        <f>ROUND(G36*I36,2)</f>
        <v>173704.49</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2604265.27</v>
      </c>
      <c r="H37" s="223" t="s">
        <v>49</v>
      </c>
      <c r="I37" s="38">
        <v>5.4000000000000003E-3</v>
      </c>
      <c r="J37" s="131">
        <f>ROUND(G37*I37,2)</f>
        <v>14063.03</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187767.52</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734">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734">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734">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734">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39.83</v>
      </c>
      <c r="D47" s="414">
        <v>0</v>
      </c>
      <c r="E47" s="847">
        <f t="shared" si="7"/>
        <v>79.66</v>
      </c>
      <c r="F47" s="847"/>
      <c r="G47" s="47" t="s">
        <v>61</v>
      </c>
      <c r="H47" s="223">
        <v>251</v>
      </c>
      <c r="I47" s="136">
        <f>INDEX('[1]111-112-113 ADDITIONAL FUND'!J$1:J$65536,MATCH($A$1,'[1]111-112-113 ADDITIONAL FUND'!A$1:A$65536))</f>
        <v>835</v>
      </c>
      <c r="J47" s="734">
        <f t="shared" si="8"/>
        <v>66516.100000000006</v>
      </c>
      <c r="M47" s="2"/>
      <c r="R47" s="906"/>
      <c r="S47" s="906"/>
      <c r="T47" s="888"/>
      <c r="U47" s="888"/>
      <c r="V47" s="182" t="s">
        <v>61</v>
      </c>
      <c r="W47" s="239">
        <v>251</v>
      </c>
      <c r="X47" s="134">
        <f t="shared" si="9"/>
        <v>835</v>
      </c>
      <c r="Y47" s="269">
        <f t="shared" si="10"/>
        <v>0</v>
      </c>
    </row>
    <row r="48" spans="1:25" ht="15.75" customHeight="1" x14ac:dyDescent="0.25">
      <c r="A48" s="846"/>
      <c r="B48" s="846"/>
      <c r="C48" s="414">
        <v>4.01</v>
      </c>
      <c r="D48" s="414">
        <v>0</v>
      </c>
      <c r="E48" s="847">
        <f t="shared" si="7"/>
        <v>8.02</v>
      </c>
      <c r="F48" s="847"/>
      <c r="G48" s="47" t="s">
        <v>61</v>
      </c>
      <c r="H48" s="223">
        <v>252</v>
      </c>
      <c r="I48" s="136">
        <f>INDEX('[1]111-112-113 ADDITIONAL FUND'!K$1:K$65536,MATCH($A$1,'[1]111-112-113 ADDITIONAL FUND'!A$1:A$65536))</f>
        <v>3168</v>
      </c>
      <c r="J48" s="734">
        <f t="shared" si="8"/>
        <v>25407.360000000001</v>
      </c>
      <c r="M48" s="2"/>
      <c r="R48" s="906"/>
      <c r="S48" s="906"/>
      <c r="T48" s="888"/>
      <c r="U48" s="888"/>
      <c r="V48" s="182" t="s">
        <v>61</v>
      </c>
      <c r="W48" s="239">
        <v>252</v>
      </c>
      <c r="X48" s="134">
        <f t="shared" si="9"/>
        <v>3168</v>
      </c>
      <c r="Y48" s="269">
        <f t="shared" si="10"/>
        <v>0</v>
      </c>
    </row>
    <row r="49" spans="1:25" ht="15.75" customHeight="1" thickBot="1" x14ac:dyDescent="0.3">
      <c r="A49" s="846"/>
      <c r="B49" s="846"/>
      <c r="C49" s="414">
        <v>0.5</v>
      </c>
      <c r="D49" s="414">
        <v>0</v>
      </c>
      <c r="E49" s="852">
        <f t="shared" si="7"/>
        <v>1</v>
      </c>
      <c r="F49" s="852"/>
      <c r="G49" s="47" t="s">
        <v>61</v>
      </c>
      <c r="H49" s="223">
        <v>253</v>
      </c>
      <c r="I49" s="136">
        <f>INDEX('[1]111-112-113 ADDITIONAL FUND'!L$1:L$65536,MATCH($A$1,'[1]111-112-113 ADDITIONAL FUND'!A$1:A$65536))</f>
        <v>6685</v>
      </c>
      <c r="J49" s="734">
        <f t="shared" si="8"/>
        <v>6685</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44.339999999999996</v>
      </c>
      <c r="D50" s="584">
        <f>SUM(D41:D49)</f>
        <v>0</v>
      </c>
      <c r="E50" s="853">
        <f>SUM(E41:E49)</f>
        <v>88.679999999999993</v>
      </c>
      <c r="F50" s="853"/>
      <c r="G50" s="839" t="s">
        <v>63</v>
      </c>
      <c r="H50" s="839"/>
      <c r="I50" s="839"/>
      <c r="J50" s="276">
        <f>SUM(J41:J49)</f>
        <v>98608.46</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479.18</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2.225E-3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468.11289999999997</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2.0439999999999998E-3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479.18</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2.5739999999999999E-3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479.18</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2.2290000000000001E-3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479.18</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2.578E-3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2.2290000000000001E-3</v>
      </c>
      <c r="J68" s="138">
        <f>ROUND(G68*I68,2)</f>
        <v>105411.08</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2.225E-3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2.578E-3</v>
      </c>
      <c r="J71" s="138">
        <f>ROUND(G71*I71,2)</f>
        <v>49414.8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2.5739999999999999E-3</v>
      </c>
      <c r="J72" s="138">
        <f>ROUND(G72*I72,2)</f>
        <v>29721.69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v>3.25</v>
      </c>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3.25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2.8400000000000002E-4</v>
      </c>
      <c r="J84" s="735">
        <f>ROUND(G84*I84,2)</f>
        <v>17968.599999999999</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2.0439999999999998E-3</v>
      </c>
      <c r="J85" s="735">
        <f>ROUND(G85*I85,2)</f>
        <v>549460.47</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2.0439999999999998E-3</v>
      </c>
      <c r="J86" s="735">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2.225E-3</v>
      </c>
      <c r="J87" s="735">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734">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0</v>
      </c>
      <c r="C91" s="245"/>
      <c r="D91" s="915">
        <f>I6</f>
        <v>1.0355000000000001</v>
      </c>
      <c r="E91" s="915"/>
      <c r="F91" s="915"/>
      <c r="G91" s="122">
        <f>'[1]Detail 2025-26 FEFP Second'!AC3</f>
        <v>915.09</v>
      </c>
      <c r="H91" s="47" t="s">
        <v>68</v>
      </c>
      <c r="I91" s="734">
        <f>ROUND(B91*D91*G91,2)</f>
        <v>0</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468.11289999999997</v>
      </c>
      <c r="C92" s="109"/>
      <c r="D92" s="915">
        <f>I6</f>
        <v>1.0355000000000001</v>
      </c>
      <c r="E92" s="915"/>
      <c r="F92" s="915"/>
      <c r="G92" s="122">
        <f>'[1]Detail 2025-26 FEFP Second'!AD3</f>
        <v>917.3</v>
      </c>
      <c r="H92" s="47" t="s">
        <v>68</v>
      </c>
      <c r="I92" s="734">
        <f>ROUND(B92*D92*G92,2)</f>
        <v>444643.66</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468.11289999999997</v>
      </c>
      <c r="C93" s="109"/>
      <c r="D93" s="109"/>
      <c r="E93" s="867" t="s">
        <v>112</v>
      </c>
      <c r="F93" s="867"/>
      <c r="G93" s="867"/>
      <c r="H93" s="867"/>
      <c r="I93" s="867"/>
      <c r="J93" s="127">
        <f>IF(A1=75,0,I92+I91+I90)</f>
        <v>444643.66</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149</v>
      </c>
      <c r="D97" s="279">
        <v>39</v>
      </c>
      <c r="E97" s="942">
        <f>(C97+D97)/2</f>
        <v>94</v>
      </c>
      <c r="F97" s="871"/>
      <c r="G97" s="871"/>
      <c r="H97" s="224" t="s">
        <v>117</v>
      </c>
      <c r="I97" s="130">
        <f>IF(A1&gt;67,0,INDEX('[1]Transportation Per Student'!F$1:F$65536,MATCH(A1,'[1]Transportation Per Student'!B$1:B$65536)))</f>
        <v>617</v>
      </c>
      <c r="J97" s="138">
        <f>ROUND(I97*E97,2)</f>
        <v>57998</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3957492.0300000003</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3769724.5100000002</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3769724.5100000002</v>
      </c>
      <c r="J114" s="296">
        <f>ROUND(IF(E28=0,0,IF(E28&gt;250,-(((250/E28)*I114)*IF(H114="H",0.02,0.05)),IF(H114="H",-0.02*I114,-0.05*I114))),2)</f>
        <v>-98337.9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3859154.1300000004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Payments'!R92</f>
        <v>-638956.43000000005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3220197.7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322019.77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90148.33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E536-2A1F-443E-BF1B-F59F5A21973D}">
  <dimension ref="A1:Z207"/>
  <sheetViews>
    <sheetView topLeftCell="A100" workbookViewId="0">
      <selection activeCell="L97" sqref="L9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458</v>
      </c>
      <c r="B2" s="102"/>
      <c r="C2" s="102"/>
      <c r="D2" s="102"/>
      <c r="E2" s="100"/>
      <c r="F2" s="100"/>
      <c r="G2" s="100"/>
      <c r="H2" s="100"/>
      <c r="I2" s="100"/>
      <c r="J2" s="100"/>
      <c r="K2" s="6"/>
      <c r="L2" s="6"/>
      <c r="M2" s="6"/>
      <c r="N2" s="6"/>
      <c r="O2" s="6"/>
      <c r="P2" s="6"/>
      <c r="Q2" s="6"/>
      <c r="R2" s="920" t="str">
        <f>Revenue_Estimate_Worksheet_for___________Charter_School</f>
        <v>Revenue Estimate Worksheet: Renaissance Charter School at West Palm Beach - 3431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Second'!$C$1:$C$65536,MATCH('3431'!$A$1,'[1]Detail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Second'!$D$1:$D$65536,MATCH('3431'!$A$1,'[1]Detail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182.6</v>
      </c>
      <c r="D12" s="410">
        <v>0</v>
      </c>
      <c r="E12" s="824">
        <f t="shared" ref="E12:E27" si="0">IF($D$28=0,C12*2,C12+D12)</f>
        <v>365.2</v>
      </c>
      <c r="F12" s="824"/>
      <c r="G12" s="825">
        <v>1.1080000000000001</v>
      </c>
      <c r="H12" s="825"/>
      <c r="I12" s="577">
        <f>ROUND(E12*G12,4)</f>
        <v>404.64159999999998</v>
      </c>
      <c r="J12" s="578">
        <f t="shared" ref="J12:J27" si="1">ROUND(ROUND(ROUND(I12*$E$6,4)*($I$6),2)*(MAX($I$7,1)),2)</f>
        <v>2251153.66</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28.5</v>
      </c>
      <c r="D13" s="414">
        <v>0</v>
      </c>
      <c r="E13" s="832">
        <f t="shared" si="0"/>
        <v>57</v>
      </c>
      <c r="F13" s="832"/>
      <c r="G13" s="833">
        <v>1.1080000000000001</v>
      </c>
      <c r="H13" s="833"/>
      <c r="I13" s="577">
        <f t="shared" ref="I13:I27" si="2">ROUND(E13*G13,4)</f>
        <v>63.155999999999999</v>
      </c>
      <c r="J13" s="578">
        <f t="shared" si="1"/>
        <v>351357.5</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218.4</v>
      </c>
      <c r="D14" s="414">
        <v>0</v>
      </c>
      <c r="E14" s="832">
        <f t="shared" si="0"/>
        <v>436.8</v>
      </c>
      <c r="F14" s="832"/>
      <c r="G14" s="833">
        <v>1</v>
      </c>
      <c r="H14" s="833"/>
      <c r="I14" s="577">
        <f t="shared" si="2"/>
        <v>436.8</v>
      </c>
      <c r="J14" s="578">
        <f>ROUND(ROUND(ROUND(I14*$E$6,4)*($I$6),2)*(MAX($I$7,1)),2)</f>
        <v>2430061.36</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33.5</v>
      </c>
      <c r="D15" s="414">
        <v>0</v>
      </c>
      <c r="E15" s="832">
        <f t="shared" si="0"/>
        <v>67</v>
      </c>
      <c r="F15" s="832"/>
      <c r="G15" s="833">
        <v>1</v>
      </c>
      <c r="H15" s="833"/>
      <c r="I15" s="577">
        <f t="shared" si="2"/>
        <v>67</v>
      </c>
      <c r="J15" s="578">
        <f t="shared" si="1"/>
        <v>372742.93</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34.4</v>
      </c>
      <c r="D24" s="414">
        <v>0</v>
      </c>
      <c r="E24" s="832">
        <f t="shared" si="0"/>
        <v>68.8</v>
      </c>
      <c r="F24" s="832"/>
      <c r="G24" s="833">
        <v>1.165</v>
      </c>
      <c r="H24" s="833"/>
      <c r="I24" s="577">
        <f t="shared" si="2"/>
        <v>80.152000000000001</v>
      </c>
      <c r="J24" s="578">
        <f t="shared" si="1"/>
        <v>445911.81</v>
      </c>
      <c r="M24" s="2"/>
      <c r="R24" s="756" t="s">
        <v>32</v>
      </c>
      <c r="S24" s="756"/>
      <c r="T24" s="897">
        <f t="shared" si="3"/>
        <v>0</v>
      </c>
      <c r="U24" s="897"/>
      <c r="V24" s="896">
        <v>1</v>
      </c>
      <c r="W24" s="896"/>
      <c r="X24" s="156">
        <f t="shared" si="4"/>
        <v>0</v>
      </c>
      <c r="Y24" s="266">
        <f t="shared" si="6"/>
        <v>0</v>
      </c>
    </row>
    <row r="25" spans="1:25" x14ac:dyDescent="0.25">
      <c r="A25" s="757" t="s">
        <v>33</v>
      </c>
      <c r="B25" s="757"/>
      <c r="C25" s="414">
        <v>9.5399999999999991</v>
      </c>
      <c r="D25" s="414">
        <v>0</v>
      </c>
      <c r="E25" s="832">
        <f t="shared" si="0"/>
        <v>19.079999999999998</v>
      </c>
      <c r="F25" s="832"/>
      <c r="G25" s="833">
        <v>1.165</v>
      </c>
      <c r="H25" s="833"/>
      <c r="I25" s="577">
        <f t="shared" si="2"/>
        <v>22.228200000000001</v>
      </c>
      <c r="J25" s="578">
        <f t="shared" si="1"/>
        <v>123662.75</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506.94</v>
      </c>
      <c r="D28" s="126">
        <f>SUM(D12:D27)</f>
        <v>0</v>
      </c>
      <c r="E28" s="837">
        <f>SUM(E12:E27)</f>
        <v>1013.88</v>
      </c>
      <c r="F28" s="837"/>
      <c r="G28" s="838"/>
      <c r="H28" s="838"/>
      <c r="I28" s="23">
        <f>SUM(I12:I27)</f>
        <v>1073.9778000000001</v>
      </c>
      <c r="J28" s="127">
        <f>SUM(J12:J27)</f>
        <v>5974890.0099999988</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1073.9778000000001</v>
      </c>
      <c r="H33" s="838" t="s">
        <v>45</v>
      </c>
      <c r="I33" s="838"/>
      <c r="J33" s="32">
        <f>SUM(J32,J28)</f>
        <v>5974890.0099999988</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5974890.0099999998</v>
      </c>
      <c r="H36" s="223" t="s">
        <v>49</v>
      </c>
      <c r="I36" s="38">
        <v>6.6699999999999995E-2</v>
      </c>
      <c r="J36" s="131">
        <f>ROUND(G36*I36,2)</f>
        <v>398525.16</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5974890.0099999998</v>
      </c>
      <c r="H37" s="223" t="s">
        <v>49</v>
      </c>
      <c r="I37" s="38">
        <v>5.4000000000000003E-3</v>
      </c>
      <c r="J37" s="131">
        <f>ROUND(G37*I37,2)</f>
        <v>32264.41</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430789.56999999995</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24.5</v>
      </c>
      <c r="D41" s="414">
        <v>0</v>
      </c>
      <c r="E41" s="847">
        <f t="shared" ref="E41:E49" si="7">IF($D$50=0,C41*2,C41+D41)</f>
        <v>49</v>
      </c>
      <c r="F41" s="847"/>
      <c r="G41" s="223" t="s">
        <v>59</v>
      </c>
      <c r="H41" s="223">
        <v>251</v>
      </c>
      <c r="I41" s="136">
        <f>INDEX('[1]111-112-113 ADDITIONAL FUND'!D$1:D$65536,MATCH($A$1,'[1]111-112-113 ADDITIONAL FUND'!A$1:A$65536))</f>
        <v>1047</v>
      </c>
      <c r="J41" s="734">
        <f t="shared" ref="J41:J49" si="8">ROUND(E41*I41,2)</f>
        <v>51303</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3.5</v>
      </c>
      <c r="D42" s="414">
        <v>0</v>
      </c>
      <c r="E42" s="847">
        <f t="shared" si="7"/>
        <v>7</v>
      </c>
      <c r="F42" s="847"/>
      <c r="G42" s="223" t="s">
        <v>59</v>
      </c>
      <c r="H42" s="223">
        <v>252</v>
      </c>
      <c r="I42" s="136">
        <f>INDEX('[1]111-112-113 ADDITIONAL FUND'!E$1:E$65536,MATCH($A$1,'[1]111-112-113 ADDITIONAL FUND'!A$1:A$65536))</f>
        <v>3380</v>
      </c>
      <c r="J42" s="734">
        <f t="shared" si="8"/>
        <v>23660</v>
      </c>
      <c r="M42" s="2"/>
      <c r="R42" s="906"/>
      <c r="S42" s="906"/>
      <c r="T42" s="907"/>
      <c r="U42" s="907"/>
      <c r="V42" s="239" t="s">
        <v>59</v>
      </c>
      <c r="W42" s="239">
        <v>252</v>
      </c>
      <c r="X42" s="134">
        <f t="shared" si="9"/>
        <v>3380</v>
      </c>
      <c r="Y42" s="269">
        <f t="shared" ref="Y42:Y49" si="10">ROUND(T42*X42,2)</f>
        <v>0</v>
      </c>
    </row>
    <row r="43" spans="1:25" x14ac:dyDescent="0.25">
      <c r="A43" s="846"/>
      <c r="B43" s="846"/>
      <c r="C43" s="414">
        <v>0.5</v>
      </c>
      <c r="D43" s="414">
        <v>0</v>
      </c>
      <c r="E43" s="847">
        <f t="shared" si="7"/>
        <v>1</v>
      </c>
      <c r="F43" s="847"/>
      <c r="G43" s="223" t="s">
        <v>59</v>
      </c>
      <c r="H43" s="223">
        <v>253</v>
      </c>
      <c r="I43" s="136">
        <f>INDEX('[1]111-112-113 ADDITIONAL FUND'!F$1:F$65536,MATCH($A$1,'[1]111-112-113 ADDITIONAL FUND'!A$1:A$65536))</f>
        <v>6896</v>
      </c>
      <c r="J43" s="734">
        <f t="shared" si="8"/>
        <v>6896</v>
      </c>
      <c r="M43" s="2"/>
      <c r="R43" s="906"/>
      <c r="S43" s="906"/>
      <c r="T43" s="888"/>
      <c r="U43" s="888"/>
      <c r="V43" s="239" t="s">
        <v>59</v>
      </c>
      <c r="W43" s="239">
        <v>253</v>
      </c>
      <c r="X43" s="134">
        <f t="shared" si="9"/>
        <v>6896</v>
      </c>
      <c r="Y43" s="269">
        <f t="shared" si="10"/>
        <v>0</v>
      </c>
    </row>
    <row r="44" spans="1:25" ht="20.25" customHeight="1" x14ac:dyDescent="0.25">
      <c r="A44" s="846"/>
      <c r="B44" s="846"/>
      <c r="C44" s="414">
        <v>27</v>
      </c>
      <c r="D44" s="414">
        <v>0</v>
      </c>
      <c r="E44" s="847">
        <f t="shared" si="7"/>
        <v>54</v>
      </c>
      <c r="F44" s="847"/>
      <c r="G44" s="47" t="s">
        <v>60</v>
      </c>
      <c r="H44" s="223">
        <v>251</v>
      </c>
      <c r="I44" s="136">
        <f>INDEX('[1]111-112-113 ADDITIONAL FUND'!G$1:G$65536,MATCH($A$1,'[1]111-112-113 ADDITIONAL FUND'!A$1:A$65536))</f>
        <v>1173</v>
      </c>
      <c r="J44" s="734">
        <f t="shared" si="8"/>
        <v>63342</v>
      </c>
      <c r="L44" s="3"/>
      <c r="M44" s="2"/>
      <c r="Q44" s="4"/>
      <c r="R44" s="906"/>
      <c r="S44" s="906"/>
      <c r="T44" s="888"/>
      <c r="U44" s="888"/>
      <c r="V44" s="182" t="s">
        <v>60</v>
      </c>
      <c r="W44" s="239">
        <v>251</v>
      </c>
      <c r="X44" s="134">
        <f t="shared" si="9"/>
        <v>1173</v>
      </c>
      <c r="Y44" s="269">
        <f t="shared" si="10"/>
        <v>0</v>
      </c>
    </row>
    <row r="45" spans="1:25" x14ac:dyDescent="0.25">
      <c r="A45" s="846"/>
      <c r="B45" s="846"/>
      <c r="C45" s="414">
        <v>6.5</v>
      </c>
      <c r="D45" s="414">
        <v>0</v>
      </c>
      <c r="E45" s="847">
        <f t="shared" si="7"/>
        <v>13</v>
      </c>
      <c r="F45" s="847"/>
      <c r="G45" s="47" t="s">
        <v>60</v>
      </c>
      <c r="H45" s="223">
        <v>252</v>
      </c>
      <c r="I45" s="136">
        <f>INDEX('[1]111-112-113 ADDITIONAL FUND'!H$1:H$65536,MATCH($A$1,'[1]111-112-113 ADDITIONAL FUND'!A$1:A$65536))</f>
        <v>3506</v>
      </c>
      <c r="J45" s="734">
        <f t="shared" si="8"/>
        <v>45578</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734">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734">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62</v>
      </c>
      <c r="D50" s="584">
        <f>SUM(D41:D49)</f>
        <v>0</v>
      </c>
      <c r="E50" s="853">
        <f>SUM(E41:E49)</f>
        <v>124</v>
      </c>
      <c r="F50" s="853"/>
      <c r="G50" s="839" t="s">
        <v>63</v>
      </c>
      <c r="H50" s="839"/>
      <c r="I50" s="839"/>
      <c r="J50" s="276">
        <f>SUM(J41:J49)</f>
        <v>190779</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1013.88</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4.7089999999999996E-3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1073.9778000000001</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4.6889999999999996E-3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1013.88</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5.4460000000000003E-3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1013.88</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4.7149999999999996E-3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1013.88</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5.4549999999999998E-3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4.7149999999999996E-3</v>
      </c>
      <c r="J68" s="138">
        <f>ROUND(G68*I68,2)</f>
        <v>222975.87</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4.7089999999999996E-3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5.4549999999999998E-3</v>
      </c>
      <c r="J71" s="138">
        <f>ROUND(G71*I71,2)</f>
        <v>104560.79</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5.4460000000000003E-3</v>
      </c>
      <c r="J72" s="138">
        <f>ROUND(G72*I72,2)</f>
        <v>62884.36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4.6889999999999996E-3</v>
      </c>
      <c r="J85" s="138">
        <f>ROUND(G85*I85,2)</f>
        <v>1260479.53</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4.6889999999999996E-3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4.7089999999999996E-3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547.94960000000003</v>
      </c>
      <c r="C90" s="245"/>
      <c r="D90" s="915">
        <f>I6</f>
        <v>1.0355000000000001</v>
      </c>
      <c r="E90" s="915"/>
      <c r="F90" s="915"/>
      <c r="G90" s="122">
        <f>'[1]Detail 2025-26 FEFP Second'!AB3</f>
        <v>958.42</v>
      </c>
      <c r="H90" s="47" t="s">
        <v>68</v>
      </c>
      <c r="I90" s="734">
        <f>ROUND(B90*D90*G90,2)</f>
        <v>543809.24</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526.02819999999997</v>
      </c>
      <c r="C91" s="245"/>
      <c r="D91" s="915">
        <f>I6</f>
        <v>1.0355000000000001</v>
      </c>
      <c r="E91" s="915"/>
      <c r="F91" s="915"/>
      <c r="G91" s="122">
        <f>'[1]Detail 2025-26 FEFP Second'!AC3</f>
        <v>915.09</v>
      </c>
      <c r="H91" s="47" t="s">
        <v>68</v>
      </c>
      <c r="I91" s="734">
        <f>ROUND(B91*D91*G91,2)</f>
        <v>498451.54</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73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1073.9778000000001</v>
      </c>
      <c r="C93" s="109"/>
      <c r="D93" s="109"/>
      <c r="E93" s="867" t="s">
        <v>112</v>
      </c>
      <c r="F93" s="867"/>
      <c r="G93" s="867"/>
      <c r="H93" s="867"/>
      <c r="I93" s="867"/>
      <c r="J93" s="127">
        <f>IF(A1=75,0,I92+I91+I90)</f>
        <v>1042260.78</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45</v>
      </c>
      <c r="D97" s="279">
        <v>35</v>
      </c>
      <c r="E97" s="942">
        <f>(C97+D97)/2</f>
        <v>40</v>
      </c>
      <c r="F97" s="871"/>
      <c r="G97" s="871"/>
      <c r="H97" s="224" t="s">
        <v>117</v>
      </c>
      <c r="I97" s="130">
        <f>IF(A1&gt;67,0,INDEX('[1]Transportation Per Student'!F$1:F$65536,MATCH(A1,'[1]Transportation Per Student'!B$1:B$65536)))</f>
        <v>617</v>
      </c>
      <c r="J97" s="138">
        <f>ROUND(I97*E97,2)</f>
        <v>24680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8883510.339999998</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8452720.7699999977</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t="s">
        <v>436</v>
      </c>
      <c r="I114" s="717">
        <f>IF(I111=1,J111,J109)</f>
        <v>8452720.7699999977</v>
      </c>
      <c r="J114" s="718">
        <f>ROUND(IF(E28=0,0,IF(E28&gt;250,-(((250/E28)*I114)*IF(H114="H",0.02,0.05)),IF(H114="H",-0.02*I114,-0.05*I114))),2)</f>
        <v>-41685.019999999997</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8841825.3199999984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Payments'!R93</f>
        <v>-1464976.06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7376849.2599999979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737684.93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127369.4</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20"/>
      <c r="I127" s="729"/>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A5E0-6CFC-462B-B521-0160ED627C13}">
  <dimension ref="A1:Z207"/>
  <sheetViews>
    <sheetView topLeftCell="A106" workbookViewId="0">
      <selection activeCell="J127" sqref="J12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86" t="s">
        <v>459</v>
      </c>
      <c r="B2" s="102"/>
      <c r="C2" s="102"/>
      <c r="D2" s="102"/>
      <c r="E2" s="100"/>
      <c r="F2" s="100"/>
      <c r="G2" s="100"/>
      <c r="H2" s="100"/>
      <c r="I2" s="100"/>
      <c r="J2" s="100"/>
      <c r="K2" s="6"/>
      <c r="L2" s="6"/>
      <c r="M2" s="6"/>
      <c r="N2" s="6"/>
      <c r="O2" s="6"/>
      <c r="P2" s="6"/>
      <c r="Q2" s="6"/>
      <c r="R2" s="920" t="str">
        <f>Revenue_Estimate_Worksheet_for___________Charter_School</f>
        <v>Revenue Estimate Worksheet: SouthTech Preparatory Academy - 3441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Second'!$C$1:$C$65536,MATCH('3441'!$A$1,'[1]Detail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Second'!$D$1:$D$65536,MATCH('3441'!$A$1,'[1]Detail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226.6</v>
      </c>
      <c r="D14" s="414">
        <v>0</v>
      </c>
      <c r="E14" s="832">
        <f t="shared" si="0"/>
        <v>453.2</v>
      </c>
      <c r="F14" s="832"/>
      <c r="G14" s="833">
        <v>1</v>
      </c>
      <c r="H14" s="833"/>
      <c r="I14" s="577">
        <f t="shared" si="2"/>
        <v>453.2</v>
      </c>
      <c r="J14" s="578">
        <f>ROUND(ROUND(ROUND(I14*$E$6,4)*($I$6),2)*(MAX($I$7,1)),2)</f>
        <v>2521299.9300000002</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29</v>
      </c>
      <c r="D15" s="414">
        <v>0</v>
      </c>
      <c r="E15" s="832">
        <f t="shared" si="0"/>
        <v>58</v>
      </c>
      <c r="F15" s="832"/>
      <c r="G15" s="833">
        <v>1</v>
      </c>
      <c r="H15" s="833"/>
      <c r="I15" s="577">
        <f t="shared" si="2"/>
        <v>58</v>
      </c>
      <c r="J15" s="578">
        <f t="shared" si="1"/>
        <v>322672.98</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8.1999999999999993</v>
      </c>
      <c r="D25" s="414">
        <v>0</v>
      </c>
      <c r="E25" s="832">
        <f t="shared" si="0"/>
        <v>16.399999999999999</v>
      </c>
      <c r="F25" s="832"/>
      <c r="G25" s="833">
        <v>1.165</v>
      </c>
      <c r="H25" s="833"/>
      <c r="I25" s="577">
        <f t="shared" si="2"/>
        <v>19.106000000000002</v>
      </c>
      <c r="J25" s="578">
        <f t="shared" si="1"/>
        <v>106292.93</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26">
        <f>SUM(C12:C27)</f>
        <v>263.8</v>
      </c>
      <c r="D28" s="126">
        <f>SUM(D12:D27)</f>
        <v>0</v>
      </c>
      <c r="E28" s="837">
        <f>SUM(E12:E27)</f>
        <v>527.6</v>
      </c>
      <c r="F28" s="837"/>
      <c r="G28" s="838"/>
      <c r="H28" s="838"/>
      <c r="I28" s="23">
        <f>SUM(I12:I27)</f>
        <v>530.30600000000004</v>
      </c>
      <c r="J28" s="127">
        <f>SUM(J12:J27)</f>
        <v>2950265.8400000003</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530.30600000000004</v>
      </c>
      <c r="H33" s="838" t="s">
        <v>45</v>
      </c>
      <c r="I33" s="838"/>
      <c r="J33" s="32">
        <f>SUM(J32,J28)</f>
        <v>2950265.8400000003</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2950265.84</v>
      </c>
      <c r="H36" s="223" t="s">
        <v>49</v>
      </c>
      <c r="I36" s="38">
        <v>6.6699999999999995E-2</v>
      </c>
      <c r="J36" s="131">
        <f>ROUND(G36*I36,2)</f>
        <v>196782.73</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2950265.84</v>
      </c>
      <c r="H37" s="223" t="s">
        <v>49</v>
      </c>
      <c r="I37" s="38">
        <v>5.4000000000000003E-3</v>
      </c>
      <c r="J37" s="131">
        <f>ROUND(G37*I37,2)</f>
        <v>15931.44</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212714.17</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734">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734">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29</v>
      </c>
      <c r="D44" s="414">
        <v>0</v>
      </c>
      <c r="E44" s="847">
        <f t="shared" si="7"/>
        <v>58</v>
      </c>
      <c r="F44" s="847"/>
      <c r="G44" s="47" t="s">
        <v>60</v>
      </c>
      <c r="H44" s="223">
        <v>251</v>
      </c>
      <c r="I44" s="136">
        <f>INDEX('[1]111-112-113 ADDITIONAL FUND'!G$1:G$65536,MATCH($A$1,'[1]111-112-113 ADDITIONAL FUND'!A$1:A$65536))</f>
        <v>1173</v>
      </c>
      <c r="J44" s="734">
        <f t="shared" si="8"/>
        <v>68034</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734">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734">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734">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29</v>
      </c>
      <c r="D50" s="584">
        <f>SUM(D41:D49)</f>
        <v>0</v>
      </c>
      <c r="E50" s="853">
        <f>SUM(E41:E49)</f>
        <v>58</v>
      </c>
      <c r="F50" s="853"/>
      <c r="G50" s="839" t="s">
        <v>63</v>
      </c>
      <c r="H50" s="839"/>
      <c r="I50" s="839"/>
      <c r="J50" s="276">
        <f>SUM(J41:J49)</f>
        <v>68034</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527.6</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2.4499999999999999E-3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530.30600000000004</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2.3149999999999998E-3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527.6</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2.8340000000000001E-3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527.6</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2.454E-3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527.6</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2.8389999999999999E-3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2.454E-3</v>
      </c>
      <c r="J68" s="138">
        <f>ROUND(G68*I68,2)</f>
        <v>116051.49</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2.4499999999999999E-3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2.8389999999999999E-3</v>
      </c>
      <c r="J71" s="138">
        <f>ROUND(G71*I71,2)</f>
        <v>54417.61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2.8340000000000001E-3</v>
      </c>
      <c r="J72" s="138">
        <f>ROUND(G72*I72,2)</f>
        <v>32723.88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16.399999999999999</v>
      </c>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16.399999999999999</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1.431E-3</v>
      </c>
      <c r="J84" s="62">
        <f>ROUND(G84*I84,2)</f>
        <v>90538.98</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2.3149999999999998E-3</v>
      </c>
      <c r="J85" s="138">
        <f>ROUND(G85*I85,2)</f>
        <v>622309.68000000005</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2.3149999999999998E-3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2.4499999999999999E-3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734">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530.30600000000004</v>
      </c>
      <c r="C91" s="245"/>
      <c r="D91" s="915">
        <f>I6</f>
        <v>1.0355000000000001</v>
      </c>
      <c r="E91" s="915"/>
      <c r="F91" s="915"/>
      <c r="G91" s="122">
        <f>'[1]Detail 2025-26 FEFP Second'!AC3</f>
        <v>915.09</v>
      </c>
      <c r="H91" s="47" t="s">
        <v>68</v>
      </c>
      <c r="I91" s="734">
        <f>ROUND(B91*D91*G91,2)</f>
        <v>502505.08</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73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530.30600000000004</v>
      </c>
      <c r="C93" s="109"/>
      <c r="D93" s="109"/>
      <c r="E93" s="867" t="s">
        <v>112</v>
      </c>
      <c r="F93" s="867"/>
      <c r="G93" s="867"/>
      <c r="H93" s="867"/>
      <c r="I93" s="867"/>
      <c r="J93" s="127">
        <f>IF(A1=75,0,I92+I91+I90)</f>
        <v>502505.08</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353</v>
      </c>
      <c r="D97" s="279">
        <v>344</v>
      </c>
      <c r="E97" s="942">
        <f>(C97+D97)/2</f>
        <v>348.5</v>
      </c>
      <c r="F97" s="871"/>
      <c r="G97" s="871"/>
      <c r="H97" s="224" t="s">
        <v>117</v>
      </c>
      <c r="I97" s="130">
        <f>IF(A1&gt;67,0,INDEX('[1]Transportation Per Student'!F$1:F$65536,MATCH(A1,'[1]Transportation Per Student'!B$1:B$65536)))</f>
        <v>617</v>
      </c>
      <c r="J97" s="138">
        <f>ROUND(I97*E97,2)</f>
        <v>215024.5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4651871.0600000015</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4439156.8900000015</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4439156.8900000015</v>
      </c>
      <c r="J114" s="296">
        <f>ROUND(IF(E28=0,0,IF(E28&gt;250,-(((250/E28)*I114)*IF(H114="H",0.02,0.05)),IF(H114="H",-0.02*I114,-0.05*I114))),2)</f>
        <v>-105173.35</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4546697.7100000018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Payments'!R94</f>
        <v>-737165.59000000008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3809532.120000002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380953.21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116784.49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D735-08D2-4D51-8DA8-3092C94DB3C7}">
  <dimension ref="A1:Z207"/>
  <sheetViews>
    <sheetView topLeftCell="A102" workbookViewId="0">
      <selection activeCell="J127" sqref="J12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460</v>
      </c>
      <c r="B2" s="102"/>
      <c r="C2" s="102"/>
      <c r="D2" s="102"/>
      <c r="E2" s="100"/>
      <c r="F2" s="100"/>
      <c r="G2" s="100"/>
      <c r="H2" s="100"/>
      <c r="I2" s="100"/>
      <c r="J2" s="100"/>
      <c r="K2" s="6"/>
      <c r="L2" s="6"/>
      <c r="M2" s="6"/>
      <c r="N2" s="6"/>
      <c r="O2" s="6"/>
      <c r="P2" s="6"/>
      <c r="Q2" s="6"/>
      <c r="R2" s="920" t="str">
        <f>Revenue_Estimate_Worksheet_for___________Charter_School</f>
        <v>Revenue Estimate Worksheet: Palm Beach Maritime Academy Secondary - 3924</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Second'!$C$1:$C$65536,MATCH('3924'!$A$1,'[1]Detail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Second'!$D$1:$D$65536,MATCH('3924'!$A$1,'[1]Detail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95.72</v>
      </c>
      <c r="D14" s="414">
        <v>0</v>
      </c>
      <c r="E14" s="832">
        <f t="shared" si="0"/>
        <v>191.44</v>
      </c>
      <c r="F14" s="832"/>
      <c r="G14" s="833">
        <v>1</v>
      </c>
      <c r="H14" s="833"/>
      <c r="I14" s="577">
        <f t="shared" si="2"/>
        <v>191.44</v>
      </c>
      <c r="J14" s="578">
        <f>ROUND(ROUND(ROUND(I14*$E$6,4)*($I$6),2)*(MAX($I$7,1)),2)</f>
        <v>1065043.3799999999</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21.5</v>
      </c>
      <c r="D15" s="414">
        <v>0</v>
      </c>
      <c r="E15" s="832">
        <f t="shared" si="0"/>
        <v>43</v>
      </c>
      <c r="F15" s="832"/>
      <c r="G15" s="833">
        <v>1</v>
      </c>
      <c r="H15" s="833"/>
      <c r="I15" s="577">
        <f t="shared" si="2"/>
        <v>43</v>
      </c>
      <c r="J15" s="578">
        <f t="shared" si="1"/>
        <v>239223.07</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60.97</v>
      </c>
      <c r="D16" s="414">
        <v>0</v>
      </c>
      <c r="E16" s="832">
        <f t="shared" si="0"/>
        <v>121.94</v>
      </c>
      <c r="F16" s="832"/>
      <c r="G16" s="833">
        <v>0.97199999999999998</v>
      </c>
      <c r="H16" s="833"/>
      <c r="I16" s="577">
        <f t="shared" si="2"/>
        <v>118.5257</v>
      </c>
      <c r="J16" s="578">
        <f t="shared" si="1"/>
        <v>659397.26</v>
      </c>
      <c r="M16" s="2"/>
      <c r="R16" s="756" t="s">
        <v>24</v>
      </c>
      <c r="S16" s="756"/>
      <c r="T16" s="897">
        <f t="shared" si="3"/>
        <v>0</v>
      </c>
      <c r="U16" s="897"/>
      <c r="V16" s="896">
        <v>1</v>
      </c>
      <c r="W16" s="896"/>
      <c r="X16" s="156">
        <f t="shared" si="4"/>
        <v>0</v>
      </c>
      <c r="Y16" s="266">
        <f t="shared" si="6"/>
        <v>0</v>
      </c>
    </row>
    <row r="17" spans="1:25" x14ac:dyDescent="0.25">
      <c r="A17" s="757" t="s">
        <v>25</v>
      </c>
      <c r="B17" s="757"/>
      <c r="C17" s="414">
        <v>12</v>
      </c>
      <c r="D17" s="414">
        <v>0</v>
      </c>
      <c r="E17" s="832">
        <f t="shared" si="0"/>
        <v>24</v>
      </c>
      <c r="F17" s="832"/>
      <c r="G17" s="833">
        <v>0.97199999999999998</v>
      </c>
      <c r="H17" s="833"/>
      <c r="I17" s="577">
        <f t="shared" si="2"/>
        <v>23.327999999999999</v>
      </c>
      <c r="J17" s="578">
        <f t="shared" si="1"/>
        <v>129781.3</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18.28</v>
      </c>
      <c r="D25" s="414">
        <v>0</v>
      </c>
      <c r="E25" s="832">
        <f t="shared" si="0"/>
        <v>36.56</v>
      </c>
      <c r="F25" s="832"/>
      <c r="G25" s="833">
        <v>1.165</v>
      </c>
      <c r="H25" s="833"/>
      <c r="I25" s="577">
        <f t="shared" si="2"/>
        <v>42.592399999999998</v>
      </c>
      <c r="J25" s="578">
        <f t="shared" si="1"/>
        <v>236955.46</v>
      </c>
      <c r="M25" s="2"/>
      <c r="R25" s="756" t="s">
        <v>33</v>
      </c>
      <c r="S25" s="756"/>
      <c r="T25" s="897">
        <f t="shared" si="3"/>
        <v>0</v>
      </c>
      <c r="U25" s="897"/>
      <c r="V25" s="896">
        <v>1</v>
      </c>
      <c r="W25" s="896"/>
      <c r="X25" s="156">
        <f t="shared" si="4"/>
        <v>0</v>
      </c>
      <c r="Y25" s="266">
        <f t="shared" si="6"/>
        <v>0</v>
      </c>
    </row>
    <row r="26" spans="1:25" x14ac:dyDescent="0.25">
      <c r="A26" s="757" t="s">
        <v>34</v>
      </c>
      <c r="B26" s="757"/>
      <c r="C26" s="414">
        <v>7.92</v>
      </c>
      <c r="D26" s="414">
        <v>0</v>
      </c>
      <c r="E26" s="832">
        <f t="shared" si="0"/>
        <v>15.84</v>
      </c>
      <c r="F26" s="832"/>
      <c r="G26" s="833">
        <v>1.165</v>
      </c>
      <c r="H26" s="833"/>
      <c r="I26" s="577">
        <f t="shared" si="2"/>
        <v>18.453600000000002</v>
      </c>
      <c r="J26" s="578">
        <f t="shared" si="1"/>
        <v>102663.42</v>
      </c>
      <c r="M26" s="2"/>
      <c r="R26" s="756" t="s">
        <v>34</v>
      </c>
      <c r="S26" s="756"/>
      <c r="T26" s="897">
        <f t="shared" si="3"/>
        <v>0</v>
      </c>
      <c r="U26" s="897"/>
      <c r="V26" s="896">
        <v>1</v>
      </c>
      <c r="W26" s="896"/>
      <c r="X26" s="156">
        <f t="shared" si="4"/>
        <v>0</v>
      </c>
      <c r="Y26" s="266">
        <f t="shared" si="6"/>
        <v>0</v>
      </c>
    </row>
    <row r="27" spans="1:25" x14ac:dyDescent="0.25">
      <c r="A27" s="764" t="s">
        <v>35</v>
      </c>
      <c r="B27" s="764"/>
      <c r="C27" s="415">
        <v>2.2200000000000002</v>
      </c>
      <c r="D27" s="415">
        <v>0</v>
      </c>
      <c r="E27" s="834">
        <f t="shared" si="0"/>
        <v>4.4400000000000004</v>
      </c>
      <c r="F27" s="834"/>
      <c r="G27" s="835">
        <v>1.081</v>
      </c>
      <c r="H27" s="835"/>
      <c r="I27" s="22">
        <f t="shared" si="2"/>
        <v>4.7995999999999999</v>
      </c>
      <c r="J27" s="127">
        <f t="shared" si="1"/>
        <v>26701.75</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218.60999999999999</v>
      </c>
      <c r="D28" s="126">
        <f>SUM(D12:D27)</f>
        <v>0</v>
      </c>
      <c r="E28" s="837">
        <f>SUM(E12:E27)</f>
        <v>437.21999999999997</v>
      </c>
      <c r="F28" s="837"/>
      <c r="G28" s="838"/>
      <c r="H28" s="838"/>
      <c r="I28" s="23">
        <f>SUM(I12:I27)</f>
        <v>442.13929999999993</v>
      </c>
      <c r="J28" s="127">
        <f>SUM(J12:J27)</f>
        <v>2459765.64</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442.13929999999993</v>
      </c>
      <c r="H33" s="838" t="s">
        <v>45</v>
      </c>
      <c r="I33" s="838"/>
      <c r="J33" s="32">
        <f>SUM(J32,J28)</f>
        <v>2459765.64</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2459765.64</v>
      </c>
      <c r="H36" s="223" t="s">
        <v>49</v>
      </c>
      <c r="I36" s="38">
        <v>6.6699999999999995E-2</v>
      </c>
      <c r="J36" s="131">
        <f>ROUND(G36*I36,2)</f>
        <v>164066.37</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2459765.64</v>
      </c>
      <c r="H37" s="223" t="s">
        <v>49</v>
      </c>
      <c r="I37" s="38">
        <v>5.4000000000000003E-3</v>
      </c>
      <c r="J37" s="131">
        <f>ROUND(G37*I37,2)</f>
        <v>13282.73</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177349.1</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20.5</v>
      </c>
      <c r="D44" s="414">
        <v>0</v>
      </c>
      <c r="E44" s="847">
        <f t="shared" si="7"/>
        <v>41</v>
      </c>
      <c r="F44" s="847"/>
      <c r="G44" s="47" t="s">
        <v>60</v>
      </c>
      <c r="H44" s="223">
        <v>251</v>
      </c>
      <c r="I44" s="136">
        <f>INDEX('[1]111-112-113 ADDITIONAL FUND'!G$1:G$65536,MATCH($A$1,'[1]111-112-113 ADDITIONAL FUND'!A$1:A$65536))</f>
        <v>1173</v>
      </c>
      <c r="J44" s="137">
        <f t="shared" si="8"/>
        <v>48093</v>
      </c>
      <c r="L44" s="3"/>
      <c r="M44" s="2"/>
      <c r="Q44" s="4"/>
      <c r="R44" s="906"/>
      <c r="S44" s="906"/>
      <c r="T44" s="888"/>
      <c r="U44" s="888"/>
      <c r="V44" s="182" t="s">
        <v>60</v>
      </c>
      <c r="W44" s="239">
        <v>251</v>
      </c>
      <c r="X44" s="134">
        <f t="shared" si="9"/>
        <v>1173</v>
      </c>
      <c r="Y44" s="269">
        <f t="shared" si="10"/>
        <v>0</v>
      </c>
    </row>
    <row r="45" spans="1:25" x14ac:dyDescent="0.25">
      <c r="A45" s="846"/>
      <c r="B45" s="846"/>
      <c r="C45" s="414">
        <v>1</v>
      </c>
      <c r="D45" s="414">
        <v>0</v>
      </c>
      <c r="E45" s="847">
        <f t="shared" si="7"/>
        <v>2</v>
      </c>
      <c r="F45" s="847"/>
      <c r="G45" s="47" t="s">
        <v>60</v>
      </c>
      <c r="H45" s="223">
        <v>252</v>
      </c>
      <c r="I45" s="136">
        <f>INDEX('[1]111-112-113 ADDITIONAL FUND'!H$1:H$65536,MATCH($A$1,'[1]111-112-113 ADDITIONAL FUND'!A$1:A$65536))</f>
        <v>3506</v>
      </c>
      <c r="J45" s="46">
        <f t="shared" si="8"/>
        <v>7012</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11</v>
      </c>
      <c r="D47" s="414">
        <v>0</v>
      </c>
      <c r="E47" s="847">
        <f t="shared" si="7"/>
        <v>22</v>
      </c>
      <c r="F47" s="847"/>
      <c r="G47" s="47" t="s">
        <v>61</v>
      </c>
      <c r="H47" s="223">
        <v>251</v>
      </c>
      <c r="I47" s="136">
        <f>INDEX('[1]111-112-113 ADDITIONAL FUND'!J$1:J$65536,MATCH($A$1,'[1]111-112-113 ADDITIONAL FUND'!A$1:A$65536))</f>
        <v>835</v>
      </c>
      <c r="J47" s="46">
        <f t="shared" si="8"/>
        <v>18370</v>
      </c>
      <c r="M47" s="2"/>
      <c r="R47" s="906"/>
      <c r="S47" s="906"/>
      <c r="T47" s="888"/>
      <c r="U47" s="888"/>
      <c r="V47" s="182" t="s">
        <v>61</v>
      </c>
      <c r="W47" s="239">
        <v>251</v>
      </c>
      <c r="X47" s="134">
        <f t="shared" si="9"/>
        <v>835</v>
      </c>
      <c r="Y47" s="269">
        <f t="shared" si="10"/>
        <v>0</v>
      </c>
    </row>
    <row r="48" spans="1:25" ht="15.75" customHeight="1" x14ac:dyDescent="0.25">
      <c r="A48" s="846"/>
      <c r="B48" s="846"/>
      <c r="C48" s="414">
        <v>1</v>
      </c>
      <c r="D48" s="414">
        <v>0</v>
      </c>
      <c r="E48" s="847">
        <f t="shared" si="7"/>
        <v>2</v>
      </c>
      <c r="F48" s="847"/>
      <c r="G48" s="47" t="s">
        <v>61</v>
      </c>
      <c r="H48" s="223">
        <v>252</v>
      </c>
      <c r="I48" s="136">
        <f>INDEX('[1]111-112-113 ADDITIONAL FUND'!K$1:K$65536,MATCH($A$1,'[1]111-112-113 ADDITIONAL FUND'!A$1:A$65536))</f>
        <v>3168</v>
      </c>
      <c r="J48" s="46">
        <f t="shared" si="8"/>
        <v>6336</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33.5</v>
      </c>
      <c r="D50" s="584">
        <f>SUM(D41:D49)</f>
        <v>0</v>
      </c>
      <c r="E50" s="853">
        <f>SUM(E41:E49)</f>
        <v>67</v>
      </c>
      <c r="F50" s="853"/>
      <c r="G50" s="839" t="s">
        <v>63</v>
      </c>
      <c r="H50" s="839"/>
      <c r="I50" s="839"/>
      <c r="J50" s="276">
        <f>SUM(J41:J49)</f>
        <v>79811</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437.21999999999997</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2.0309999999999998E-3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442.13929999999993</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1.9300000000000001E-3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437.21999999999997</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2.349E-3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437.21999999999997</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2.0330000000000001E-3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437.21999999999997</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2.3530000000000001E-3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2.0330000000000001E-3</v>
      </c>
      <c r="J68" s="138">
        <f>ROUND(G68*I68,2)</f>
        <v>96142.09</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2.0309999999999998E-3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2.3530000000000001E-3</v>
      </c>
      <c r="J71" s="138">
        <f>ROUND(G71*I71,2)</f>
        <v>45102.02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2.349E-3</v>
      </c>
      <c r="J72" s="138">
        <f>ROUND(G72*I72,2)</f>
        <v>27123.64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v>1.44</v>
      </c>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v>0.5</v>
      </c>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v>0.32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2.2599999999999998</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1.9699999999999999E-4</v>
      </c>
      <c r="J84" s="735">
        <f>ROUND(G84*I84,2)</f>
        <v>12464.14</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1.9300000000000001E-3</v>
      </c>
      <c r="J85" s="735">
        <f>ROUND(G85*I85,2)</f>
        <v>518815.42</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1.9300000000000001E-3</v>
      </c>
      <c r="J86" s="735">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2.0309999999999998E-3</v>
      </c>
      <c r="J87" s="735">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734">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277.0324</v>
      </c>
      <c r="C91" s="245"/>
      <c r="D91" s="915">
        <f>I6</f>
        <v>1.0355000000000001</v>
      </c>
      <c r="E91" s="915"/>
      <c r="F91" s="915"/>
      <c r="G91" s="122">
        <f>'[1]Detail 2025-26 FEFP Second'!AC3</f>
        <v>915.09</v>
      </c>
      <c r="H91" s="47" t="s">
        <v>68</v>
      </c>
      <c r="I91" s="734">
        <f>ROUND(B91*D91*G91,2)</f>
        <v>262509.17</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165.1069</v>
      </c>
      <c r="C92" s="109"/>
      <c r="D92" s="915">
        <f>I6</f>
        <v>1.0355000000000001</v>
      </c>
      <c r="E92" s="915"/>
      <c r="F92" s="915"/>
      <c r="G92" s="122">
        <f>'[1]Detail 2025-26 FEFP Second'!AD3</f>
        <v>917.3</v>
      </c>
      <c r="H92" s="47" t="s">
        <v>68</v>
      </c>
      <c r="I92" s="734">
        <f>ROUND(B92*D92*G92,2)</f>
        <v>156829.13</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442.13929999999999</v>
      </c>
      <c r="C93" s="109"/>
      <c r="D93" s="109"/>
      <c r="E93" s="867" t="s">
        <v>112</v>
      </c>
      <c r="F93" s="867"/>
      <c r="G93" s="867"/>
      <c r="H93" s="867"/>
      <c r="I93" s="867"/>
      <c r="J93" s="127">
        <f>IF(A1=75,0,I92+I91+I90)</f>
        <v>419338.3</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238</v>
      </c>
      <c r="D97" s="279">
        <v>251</v>
      </c>
      <c r="E97" s="942">
        <f>(C97+D97)/2</f>
        <v>244.5</v>
      </c>
      <c r="F97" s="871"/>
      <c r="G97" s="871"/>
      <c r="H97" s="224" t="s">
        <v>117</v>
      </c>
      <c r="I97" s="130">
        <f>IF(A1&gt;67,0,INDEX('[1]Transportation Per Student'!F$1:F$65536,MATCH(A1,'[1]Transportation Per Student'!B$1:B$65536)))</f>
        <v>617</v>
      </c>
      <c r="J97" s="138">
        <f>ROUND(I97*E97,2)</f>
        <v>150856.5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3809418.7500000005</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3632069.6500000004</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3632069.6500000004</v>
      </c>
      <c r="J114" s="296">
        <f>ROUND(IF(E28=0,0,IF(E28&gt;250,-(((250/E28)*I114)*IF(H114="H",0.02,0.05)),IF(H114="H",-0.02*I114,-0.05*I114))),2)</f>
        <v>-103839.88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3705578.8700000006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Payments'!R95</f>
        <v>-611335.89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3094242.9800000004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309424.3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77763.600000000006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D8974-23AA-4E42-A270-45138934B444}">
  <dimension ref="A1:Z207"/>
  <sheetViews>
    <sheetView topLeftCell="A100" workbookViewId="0">
      <selection activeCell="L99" sqref="L9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461</v>
      </c>
      <c r="B2" s="102"/>
      <c r="C2" s="102"/>
      <c r="D2" s="102"/>
      <c r="E2" s="100"/>
      <c r="F2" s="100"/>
      <c r="G2" s="100"/>
      <c r="H2" s="100"/>
      <c r="I2" s="100"/>
      <c r="J2" s="100"/>
      <c r="K2" s="6"/>
      <c r="L2" s="6"/>
      <c r="M2" s="6"/>
      <c r="N2" s="6"/>
      <c r="O2" s="6"/>
      <c r="P2" s="6"/>
      <c r="Q2" s="6"/>
      <c r="R2" s="920" t="str">
        <f>Revenue_Estimate_Worksheet_for___________Charter_School</f>
        <v>Revenue Estimate Worksheet: Ben Gamla Charter School - 3941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Second'!$C$1:$C$65536,MATCH('3941'!$A$1,'[1]Detail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Second'!$D$1:$D$65536,MATCH('3941'!$A$1,'[1]Detail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60.82</v>
      </c>
      <c r="D12" s="410">
        <v>0</v>
      </c>
      <c r="E12" s="824">
        <f t="shared" ref="E12:E27" si="0">IF($D$28=0,C12*2,C12+D12)</f>
        <v>121.64</v>
      </c>
      <c r="F12" s="824"/>
      <c r="G12" s="825">
        <v>1.1080000000000001</v>
      </c>
      <c r="H12" s="825"/>
      <c r="I12" s="577">
        <f>ROUND(E12*G12,4)</f>
        <v>134.77709999999999</v>
      </c>
      <c r="J12" s="578">
        <f t="shared" ref="J12:J27" si="1">ROUND(ROUND(ROUND(I12*$E$6,4)*($I$6),2)*(MAX($I$7,1)),2)</f>
        <v>749809.12</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9</v>
      </c>
      <c r="D13" s="414">
        <v>0</v>
      </c>
      <c r="E13" s="832">
        <f t="shared" si="0"/>
        <v>18</v>
      </c>
      <c r="F13" s="832"/>
      <c r="G13" s="833">
        <v>1.1080000000000001</v>
      </c>
      <c r="H13" s="833"/>
      <c r="I13" s="577">
        <f t="shared" ref="I13:I27" si="2">ROUND(E13*G13,4)</f>
        <v>19.943999999999999</v>
      </c>
      <c r="J13" s="578">
        <f t="shared" si="1"/>
        <v>110955</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24.59</v>
      </c>
      <c r="D14" s="414">
        <v>0</v>
      </c>
      <c r="E14" s="832">
        <f t="shared" si="0"/>
        <v>49.18</v>
      </c>
      <c r="F14" s="832"/>
      <c r="G14" s="833">
        <v>1</v>
      </c>
      <c r="H14" s="833"/>
      <c r="I14" s="577">
        <f t="shared" si="2"/>
        <v>49.18</v>
      </c>
      <c r="J14" s="578">
        <f>ROUND(ROUND(ROUND(I14*$E$6,4)*($I$6),2)*(MAX($I$7,1)),2)</f>
        <v>273604.44</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7.5</v>
      </c>
      <c r="D15" s="414">
        <v>0</v>
      </c>
      <c r="E15" s="832">
        <f t="shared" si="0"/>
        <v>15</v>
      </c>
      <c r="F15" s="832"/>
      <c r="G15" s="833">
        <v>1</v>
      </c>
      <c r="H15" s="833"/>
      <c r="I15" s="577">
        <f t="shared" si="2"/>
        <v>15</v>
      </c>
      <c r="J15" s="578">
        <f t="shared" si="1"/>
        <v>83449.91</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9.18</v>
      </c>
      <c r="D24" s="414">
        <v>0</v>
      </c>
      <c r="E24" s="832">
        <f t="shared" si="0"/>
        <v>18.36</v>
      </c>
      <c r="F24" s="832"/>
      <c r="G24" s="833">
        <v>1.165</v>
      </c>
      <c r="H24" s="833"/>
      <c r="I24" s="577">
        <f t="shared" si="2"/>
        <v>21.389399999999998</v>
      </c>
      <c r="J24" s="578">
        <f t="shared" si="1"/>
        <v>118996.23</v>
      </c>
      <c r="M24" s="2"/>
      <c r="R24" s="756" t="s">
        <v>32</v>
      </c>
      <c r="S24" s="756"/>
      <c r="T24" s="897">
        <f t="shared" si="3"/>
        <v>0</v>
      </c>
      <c r="U24" s="897"/>
      <c r="V24" s="896">
        <v>1</v>
      </c>
      <c r="W24" s="896"/>
      <c r="X24" s="156">
        <f t="shared" si="4"/>
        <v>0</v>
      </c>
      <c r="Y24" s="266">
        <f t="shared" si="6"/>
        <v>0</v>
      </c>
    </row>
    <row r="25" spans="1:25" x14ac:dyDescent="0.25">
      <c r="A25" s="757" t="s">
        <v>33</v>
      </c>
      <c r="B25" s="757"/>
      <c r="C25" s="414">
        <v>3.41</v>
      </c>
      <c r="D25" s="414">
        <v>0</v>
      </c>
      <c r="E25" s="832">
        <f t="shared" si="0"/>
        <v>6.82</v>
      </c>
      <c r="F25" s="832"/>
      <c r="G25" s="833">
        <v>1.165</v>
      </c>
      <c r="H25" s="833"/>
      <c r="I25" s="577">
        <f t="shared" si="2"/>
        <v>7.9452999999999996</v>
      </c>
      <c r="J25" s="578">
        <f t="shared" si="1"/>
        <v>44202.3</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26">
        <f>SUM(C12:C27)</f>
        <v>114.5</v>
      </c>
      <c r="D28" s="126">
        <f>SUM(D12:D27)</f>
        <v>0</v>
      </c>
      <c r="E28" s="837">
        <f>SUM(E12:E27)</f>
        <v>229</v>
      </c>
      <c r="F28" s="837"/>
      <c r="G28" s="838"/>
      <c r="H28" s="838"/>
      <c r="I28" s="23">
        <f>SUM(I12:I27)</f>
        <v>248.23579999999998</v>
      </c>
      <c r="J28" s="127">
        <f>SUM(J12:J27)</f>
        <v>1381017</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248.23579999999998</v>
      </c>
      <c r="H33" s="838" t="s">
        <v>45</v>
      </c>
      <c r="I33" s="838"/>
      <c r="J33" s="32">
        <f>SUM(J32,J28)</f>
        <v>1381017</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1381017</v>
      </c>
      <c r="H36" s="223" t="s">
        <v>49</v>
      </c>
      <c r="I36" s="38">
        <v>6.6699999999999995E-2</v>
      </c>
      <c r="J36" s="131">
        <f>ROUND(G36*I36,2)</f>
        <v>92113.83</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1381017</v>
      </c>
      <c r="H37" s="223" t="s">
        <v>49</v>
      </c>
      <c r="I37" s="38">
        <v>5.4000000000000003E-3</v>
      </c>
      <c r="J37" s="131">
        <f>ROUND(G37*I37,2)</f>
        <v>7457.49</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99571.32</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7</v>
      </c>
      <c r="D41" s="414">
        <v>0</v>
      </c>
      <c r="E41" s="847">
        <f t="shared" ref="E41:E49" si="7">IF($D$50=0,C41*2,C41+D41)</f>
        <v>14</v>
      </c>
      <c r="F41" s="847"/>
      <c r="G41" s="223" t="s">
        <v>59</v>
      </c>
      <c r="H41" s="223">
        <v>251</v>
      </c>
      <c r="I41" s="136">
        <f>INDEX('[1]111-112-113 ADDITIONAL FUND'!D$1:D$65536,MATCH($A$1,'[1]111-112-113 ADDITIONAL FUND'!A$1:A$65536))</f>
        <v>1047</v>
      </c>
      <c r="J41" s="734">
        <f t="shared" ref="J41:J49" si="8">ROUND(E41*I41,2)</f>
        <v>14658</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2</v>
      </c>
      <c r="D42" s="414">
        <v>0</v>
      </c>
      <c r="E42" s="847">
        <f t="shared" si="7"/>
        <v>4</v>
      </c>
      <c r="F42" s="847"/>
      <c r="G42" s="223" t="s">
        <v>59</v>
      </c>
      <c r="H42" s="223">
        <v>252</v>
      </c>
      <c r="I42" s="136">
        <f>INDEX('[1]111-112-113 ADDITIONAL FUND'!E$1:E$65536,MATCH($A$1,'[1]111-112-113 ADDITIONAL FUND'!A$1:A$65536))</f>
        <v>3380</v>
      </c>
      <c r="J42" s="734">
        <f t="shared" si="8"/>
        <v>13520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5.5</v>
      </c>
      <c r="D44" s="414">
        <v>0</v>
      </c>
      <c r="E44" s="847">
        <f t="shared" si="7"/>
        <v>11</v>
      </c>
      <c r="F44" s="847"/>
      <c r="G44" s="47" t="s">
        <v>60</v>
      </c>
      <c r="H44" s="223">
        <v>251</v>
      </c>
      <c r="I44" s="136">
        <f>INDEX('[1]111-112-113 ADDITIONAL FUND'!G$1:G$65536,MATCH($A$1,'[1]111-112-113 ADDITIONAL FUND'!A$1:A$65536))</f>
        <v>1173</v>
      </c>
      <c r="J44" s="734">
        <f t="shared" si="8"/>
        <v>12903</v>
      </c>
      <c r="L44" s="3"/>
      <c r="M44" s="2"/>
      <c r="Q44" s="4"/>
      <c r="R44" s="906"/>
      <c r="S44" s="906"/>
      <c r="T44" s="888"/>
      <c r="U44" s="888"/>
      <c r="V44" s="182" t="s">
        <v>60</v>
      </c>
      <c r="W44" s="239">
        <v>251</v>
      </c>
      <c r="X44" s="134">
        <f t="shared" si="9"/>
        <v>1173</v>
      </c>
      <c r="Y44" s="269">
        <f t="shared" si="10"/>
        <v>0</v>
      </c>
    </row>
    <row r="45" spans="1:25" x14ac:dyDescent="0.25">
      <c r="A45" s="846"/>
      <c r="B45" s="846"/>
      <c r="C45" s="414">
        <v>2</v>
      </c>
      <c r="D45" s="414">
        <v>0</v>
      </c>
      <c r="E45" s="847">
        <f t="shared" si="7"/>
        <v>4</v>
      </c>
      <c r="F45" s="847"/>
      <c r="G45" s="47" t="s">
        <v>60</v>
      </c>
      <c r="H45" s="223">
        <v>252</v>
      </c>
      <c r="I45" s="136">
        <f>INDEX('[1]111-112-113 ADDITIONAL FUND'!H$1:H$65536,MATCH($A$1,'[1]111-112-113 ADDITIONAL FUND'!A$1:A$65536))</f>
        <v>3506</v>
      </c>
      <c r="J45" s="734">
        <f t="shared" si="8"/>
        <v>14024</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734">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734">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16.5</v>
      </c>
      <c r="D50" s="584">
        <f>SUM(D41:D49)</f>
        <v>0</v>
      </c>
      <c r="E50" s="853">
        <f>SUM(E41:E49)</f>
        <v>33</v>
      </c>
      <c r="F50" s="853"/>
      <c r="G50" s="839" t="s">
        <v>63</v>
      </c>
      <c r="H50" s="839"/>
      <c r="I50" s="839"/>
      <c r="J50" s="276">
        <f>SUM(J41:J49)</f>
        <v>55105</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229</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1.0640000000000001E-3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248.23579999999998</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1.0839999999999999E-3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229</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1.23E-3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229</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1.065E-3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229</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1.232E-3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1.065E-3</v>
      </c>
      <c r="J68" s="138">
        <f>ROUND(G68*I68,2)</f>
        <v>50364.65</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1.0640000000000001E-3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1.232E-3</v>
      </c>
      <c r="J71" s="138">
        <f>ROUND(G71*I71,2)</f>
        <v>23614.83</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1.23E-3</v>
      </c>
      <c r="J72" s="138">
        <f>ROUND(G72*I72,2)</f>
        <v>14202.67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1.0839999999999999E-3</v>
      </c>
      <c r="J85" s="138">
        <f>ROUND(G85*I85,2)</f>
        <v>291396.84999999998</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1.0839999999999999E-3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1.0640000000000001E-3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176.11049999999997</v>
      </c>
      <c r="C90" s="245"/>
      <c r="D90" s="915">
        <f>I6</f>
        <v>1.0355000000000001</v>
      </c>
      <c r="E90" s="915"/>
      <c r="F90" s="915"/>
      <c r="G90" s="122">
        <f>'[1]Detail 2025-26 FEFP Second'!AB3</f>
        <v>958.42</v>
      </c>
      <c r="H90" s="47" t="s">
        <v>68</v>
      </c>
      <c r="I90" s="734">
        <f>ROUND(B90*D90*G90,2)</f>
        <v>174779.79</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72.12530000000001</v>
      </c>
      <c r="C91" s="245"/>
      <c r="D91" s="915">
        <f>I6</f>
        <v>1.0355000000000001</v>
      </c>
      <c r="E91" s="915"/>
      <c r="F91" s="915"/>
      <c r="G91" s="122">
        <f>'[1]Detail 2025-26 FEFP Second'!AC3</f>
        <v>915.09</v>
      </c>
      <c r="H91" s="47" t="s">
        <v>68</v>
      </c>
      <c r="I91" s="734">
        <f>ROUND(B91*D91*G91,2)</f>
        <v>68344.179999999993</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73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248.23579999999998</v>
      </c>
      <c r="C93" s="109"/>
      <c r="D93" s="109"/>
      <c r="E93" s="867" t="s">
        <v>112</v>
      </c>
      <c r="F93" s="867"/>
      <c r="G93" s="867"/>
      <c r="H93" s="867"/>
      <c r="I93" s="867"/>
      <c r="J93" s="127">
        <f>IF(A1=75,0,I92+I91+I90)</f>
        <v>243123.97</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2</v>
      </c>
      <c r="D97" s="279">
        <v>0</v>
      </c>
      <c r="E97" s="942">
        <f>(C97+D97)/2</f>
        <v>1</v>
      </c>
      <c r="F97" s="871"/>
      <c r="G97" s="871"/>
      <c r="H97" s="224" t="s">
        <v>117</v>
      </c>
      <c r="I97" s="130">
        <f>IF(A1&gt;67,0,INDEX('[1]Transportation Per Student'!F$1:F$65536,MATCH(A1,'[1]Transportation Per Student'!B$1:B$65536)))</f>
        <v>617</v>
      </c>
      <c r="J97" s="138">
        <f>ROUND(I97*E97,2)</f>
        <v>617</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2059441.9699999997</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1959870.6499999997</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t="s">
        <v>436</v>
      </c>
      <c r="I114" s="717">
        <f>IF(I111=1,J111,J109)</f>
        <v>1959870.6499999997</v>
      </c>
      <c r="J114" s="718">
        <f>ROUND(IF(E28=0,0,IF(E28&gt;250,-(((250/E28)*I114)*IF(H114="H",0.02,0.05)),IF(H114="H",-0.02*I114,-0.05*I114))),2)</f>
        <v>-39197.410000000003</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2020244.5599999998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Payments'!R96</f>
        <v>-335025.59999999998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1685218.96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168521.9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A032-7DA8-426C-94D0-052776C3AD89}">
  <dimension ref="A1:Z207"/>
  <sheetViews>
    <sheetView workbookViewId="0">
      <selection activeCell="J20" sqref="J20"/>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462</v>
      </c>
      <c r="B2" s="102"/>
      <c r="C2" s="102"/>
      <c r="D2" s="102"/>
      <c r="E2" s="100"/>
      <c r="F2" s="100"/>
      <c r="G2" s="100"/>
      <c r="H2" s="100"/>
      <c r="I2" s="100"/>
      <c r="J2" s="739" t="s">
        <v>562</v>
      </c>
      <c r="K2" s="739"/>
      <c r="L2" s="6"/>
      <c r="M2" s="6"/>
      <c r="N2" s="6"/>
      <c r="O2" s="6"/>
      <c r="P2" s="6"/>
      <c r="Q2" s="6"/>
      <c r="R2" s="920" t="str">
        <f>Revenue_Estimate_Worksheet_for___________Charter_School</f>
        <v>Revenue Estimate Worksheet: Gardens School of Technology Arts - 3961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Second'!$C$1:$C$65536,MATCH('3961'!$A$1,'[1]Detail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Second'!$D$1:$D$65536,MATCH('3961'!$A$1,'[1]Detail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0</v>
      </c>
      <c r="D28" s="126">
        <f>SUM(D12:D27)</f>
        <v>0</v>
      </c>
      <c r="E28" s="837">
        <f>SUM(E12:E27)</f>
        <v>0</v>
      </c>
      <c r="F28" s="837"/>
      <c r="G28" s="838"/>
      <c r="H28" s="838"/>
      <c r="I28" s="23">
        <f>SUM(I12:I27)</f>
        <v>0</v>
      </c>
      <c r="J28" s="127">
        <f>SUM(J12:J27)</f>
        <v>0</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0</v>
      </c>
      <c r="H33" s="838" t="s">
        <v>45</v>
      </c>
      <c r="I33" s="838"/>
      <c r="J33" s="32">
        <f>SUM(J32,J28)</f>
        <v>0</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0</v>
      </c>
      <c r="H36" s="223" t="s">
        <v>49</v>
      </c>
      <c r="I36" s="38">
        <v>6.6699999999999995E-2</v>
      </c>
      <c r="J36" s="131">
        <f>ROUND(G36*I36,2)</f>
        <v>0</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0</v>
      </c>
      <c r="H37" s="223" t="s">
        <v>49</v>
      </c>
      <c r="I37" s="38">
        <v>5.4000000000000003E-3</v>
      </c>
      <c r="J37" s="131">
        <f>ROUND(G37*I37,2)</f>
        <v>0</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0</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46">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0</v>
      </c>
      <c r="D50" s="584">
        <f>SUM(D41:D49)</f>
        <v>0</v>
      </c>
      <c r="E50" s="853">
        <f>SUM(E41:E49)</f>
        <v>0</v>
      </c>
      <c r="F50" s="853"/>
      <c r="G50" s="839" t="s">
        <v>63</v>
      </c>
      <c r="H50" s="839"/>
      <c r="I50" s="839"/>
      <c r="J50" s="276">
        <f>SUM(J41:J49)</f>
        <v>0</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0</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0</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0</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0</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0</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0</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0</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0</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0</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0</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0</v>
      </c>
      <c r="J68" s="138">
        <f>ROUND(G68*I68,2)</f>
        <v>0</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0</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0</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141">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0</v>
      </c>
      <c r="C91" s="245"/>
      <c r="D91" s="915">
        <f>I6</f>
        <v>1.0355000000000001</v>
      </c>
      <c r="E91" s="915"/>
      <c r="F91" s="915"/>
      <c r="G91" s="122">
        <f>'[1]Detail 2025-26 FEFP Second'!AC3</f>
        <v>915.09</v>
      </c>
      <c r="H91" s="47" t="s">
        <v>68</v>
      </c>
      <c r="I91" s="140">
        <f>ROUND(B91*D91*G91,2)</f>
        <v>0</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0</v>
      </c>
      <c r="C93" s="109"/>
      <c r="D93" s="109"/>
      <c r="E93" s="867" t="s">
        <v>112</v>
      </c>
      <c r="F93" s="867"/>
      <c r="G93" s="867"/>
      <c r="H93" s="867"/>
      <c r="I93" s="867"/>
      <c r="J93" s="127">
        <f>IF(A1=75,0,I92+I91+I90)</f>
        <v>0</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0</v>
      </c>
      <c r="D97" s="279">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0</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0</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294" t="s">
        <v>436</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Payments'!R97</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3E64-4DB6-4474-9207-57D94554FBEA}">
  <dimension ref="A1:Z207"/>
  <sheetViews>
    <sheetView topLeftCell="A106" workbookViewId="0">
      <selection activeCell="J82" sqref="J82"/>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463</v>
      </c>
      <c r="B2" s="102"/>
      <c r="C2" s="102"/>
      <c r="D2" s="102"/>
      <c r="E2" s="100"/>
      <c r="F2" s="100"/>
      <c r="G2" s="100"/>
      <c r="H2" s="100"/>
      <c r="I2" s="100"/>
      <c r="J2" s="100"/>
      <c r="K2" s="6"/>
      <c r="L2" s="6"/>
      <c r="M2" s="6"/>
      <c r="N2" s="6"/>
      <c r="O2" s="6"/>
      <c r="P2" s="6"/>
      <c r="Q2" s="6"/>
      <c r="R2" s="920" t="str">
        <f>Revenue_Estimate_Worksheet_for___________Charter_School</f>
        <v>Revenue Estimate Worksheet: Palm Beach Preparatory Charter Academy - 3971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Second'!$C$1:$C$65536,MATCH('3971'!$A$1,'[1]Detail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Second'!$D$1:$D$65536,MATCH('3971'!$A$1,'[1]Detail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236.41</v>
      </c>
      <c r="D16" s="414">
        <v>0</v>
      </c>
      <c r="E16" s="832">
        <f t="shared" si="0"/>
        <v>472.82</v>
      </c>
      <c r="F16" s="832"/>
      <c r="G16" s="833">
        <v>0.97199999999999998</v>
      </c>
      <c r="H16" s="833"/>
      <c r="I16" s="577">
        <f t="shared" si="2"/>
        <v>459.58100000000002</v>
      </c>
      <c r="J16" s="578">
        <f t="shared" si="1"/>
        <v>2556799.52</v>
      </c>
      <c r="M16" s="2"/>
      <c r="R16" s="756" t="s">
        <v>24</v>
      </c>
      <c r="S16" s="756"/>
      <c r="T16" s="897">
        <f t="shared" si="3"/>
        <v>0</v>
      </c>
      <c r="U16" s="897"/>
      <c r="V16" s="896">
        <v>1</v>
      </c>
      <c r="W16" s="896"/>
      <c r="X16" s="156">
        <f t="shared" si="4"/>
        <v>0</v>
      </c>
      <c r="Y16" s="266">
        <f t="shared" si="6"/>
        <v>0</v>
      </c>
    </row>
    <row r="17" spans="1:25" x14ac:dyDescent="0.25">
      <c r="A17" s="757" t="s">
        <v>25</v>
      </c>
      <c r="B17" s="757"/>
      <c r="C17" s="414">
        <v>46.43</v>
      </c>
      <c r="D17" s="414">
        <v>0</v>
      </c>
      <c r="E17" s="832">
        <f t="shared" si="0"/>
        <v>92.86</v>
      </c>
      <c r="F17" s="832"/>
      <c r="G17" s="833">
        <v>0.97199999999999998</v>
      </c>
      <c r="H17" s="833"/>
      <c r="I17" s="577">
        <f t="shared" si="2"/>
        <v>90.259900000000002</v>
      </c>
      <c r="J17" s="578">
        <f t="shared" si="1"/>
        <v>502145.37</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32.700000000000003</v>
      </c>
      <c r="D26" s="414">
        <v>0</v>
      </c>
      <c r="E26" s="832">
        <f t="shared" si="0"/>
        <v>65.400000000000006</v>
      </c>
      <c r="F26" s="832"/>
      <c r="G26" s="833">
        <v>1.165</v>
      </c>
      <c r="H26" s="833"/>
      <c r="I26" s="577">
        <f t="shared" si="2"/>
        <v>76.191000000000003</v>
      </c>
      <c r="J26" s="578">
        <f t="shared" si="1"/>
        <v>423875.47</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315.53999999999996</v>
      </c>
      <c r="D28" s="126">
        <f>SUM(D12:D27)</f>
        <v>0</v>
      </c>
      <c r="E28" s="837">
        <f>SUM(E12:E27)</f>
        <v>631.07999999999993</v>
      </c>
      <c r="F28" s="837"/>
      <c r="G28" s="838"/>
      <c r="H28" s="838"/>
      <c r="I28" s="23">
        <f>SUM(I12:I27)</f>
        <v>626.03190000000006</v>
      </c>
      <c r="J28" s="127">
        <f>SUM(J12:J27)</f>
        <v>3482820.3600000003</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626.03190000000006</v>
      </c>
      <c r="H33" s="838" t="s">
        <v>45</v>
      </c>
      <c r="I33" s="838"/>
      <c r="J33" s="32">
        <f>SUM(J32,J28)</f>
        <v>3482820.3600000003</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3482820.36</v>
      </c>
      <c r="H36" s="223" t="s">
        <v>49</v>
      </c>
      <c r="I36" s="38">
        <v>6.6699999999999995E-2</v>
      </c>
      <c r="J36" s="131">
        <f>ROUND(G36*I36,2)</f>
        <v>232304.12</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3482820.36</v>
      </c>
      <c r="H37" s="223" t="s">
        <v>49</v>
      </c>
      <c r="I37" s="38">
        <v>5.4000000000000003E-3</v>
      </c>
      <c r="J37" s="131">
        <f>ROUND(G37*I37,2)</f>
        <v>18807.23</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251111.35</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734">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734">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734">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734">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43.92</v>
      </c>
      <c r="D47" s="414">
        <v>0</v>
      </c>
      <c r="E47" s="847">
        <f t="shared" si="7"/>
        <v>87.84</v>
      </c>
      <c r="F47" s="847"/>
      <c r="G47" s="47" t="s">
        <v>61</v>
      </c>
      <c r="H47" s="223">
        <v>251</v>
      </c>
      <c r="I47" s="136">
        <f>INDEX('[1]111-112-113 ADDITIONAL FUND'!J$1:J$65536,MATCH($A$1,'[1]111-112-113 ADDITIONAL FUND'!A$1:A$65536))</f>
        <v>835</v>
      </c>
      <c r="J47" s="734">
        <f t="shared" si="8"/>
        <v>73346.399999999994</v>
      </c>
      <c r="M47" s="2"/>
      <c r="R47" s="906"/>
      <c r="S47" s="906"/>
      <c r="T47" s="888"/>
      <c r="U47" s="888"/>
      <c r="V47" s="182" t="s">
        <v>61</v>
      </c>
      <c r="W47" s="239">
        <v>251</v>
      </c>
      <c r="X47" s="134">
        <f t="shared" si="9"/>
        <v>835</v>
      </c>
      <c r="Y47" s="269">
        <f t="shared" si="10"/>
        <v>0</v>
      </c>
    </row>
    <row r="48" spans="1:25" ht="15.75" customHeight="1" x14ac:dyDescent="0.25">
      <c r="A48" s="846"/>
      <c r="B48" s="846"/>
      <c r="C48" s="414">
        <v>2.5099999999999998</v>
      </c>
      <c r="D48" s="414">
        <v>0</v>
      </c>
      <c r="E48" s="847">
        <f t="shared" si="7"/>
        <v>5.0199999999999996</v>
      </c>
      <c r="F48" s="847"/>
      <c r="G48" s="47" t="s">
        <v>61</v>
      </c>
      <c r="H48" s="223">
        <v>252</v>
      </c>
      <c r="I48" s="136">
        <f>INDEX('[1]111-112-113 ADDITIONAL FUND'!K$1:K$65536,MATCH($A$1,'[1]111-112-113 ADDITIONAL FUND'!A$1:A$65536))</f>
        <v>3168</v>
      </c>
      <c r="J48" s="734">
        <f t="shared" si="8"/>
        <v>15903.36</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46.43</v>
      </c>
      <c r="D50" s="584">
        <f>SUM(D41:D49)</f>
        <v>0</v>
      </c>
      <c r="E50" s="853">
        <f>SUM(E41:E49)</f>
        <v>92.86</v>
      </c>
      <c r="F50" s="853"/>
      <c r="G50" s="839" t="s">
        <v>63</v>
      </c>
      <c r="H50" s="839"/>
      <c r="I50" s="839"/>
      <c r="J50" s="276">
        <f>SUM(J41:J49)</f>
        <v>89249.76</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631.07999999999993</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2.931E-3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626.03190000000006</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2.7330000000000002E-3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631.07999999999993</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3.3899999999999998E-3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631.07999999999993</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2.9350000000000001E-3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631.07999999999993</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3.3960000000000001E-3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2.9350000000000001E-3</v>
      </c>
      <c r="J68" s="138">
        <f>ROUND(G68*I68,2)</f>
        <v>138798.34</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2.931E-3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3.3960000000000001E-3</v>
      </c>
      <c r="J71" s="138">
        <f>ROUND(G71*I71,2)</f>
        <v>65094.12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3.3899999999999998E-3</v>
      </c>
      <c r="J72" s="138">
        <f>ROUND(G72*I72,2)</f>
        <v>39143.949999999997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v>1.5</v>
      </c>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1.3100000000000001E-4</v>
      </c>
      <c r="J84" s="62">
        <f>ROUND(G84*I84,2)</f>
        <v>8288.33</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2.7330000000000002E-3</v>
      </c>
      <c r="J85" s="138">
        <f>ROUND(G85*I85,2)</f>
        <v>734674.89</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2.7330000000000002E-3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2.931E-3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734">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0</v>
      </c>
      <c r="C91" s="245"/>
      <c r="D91" s="915">
        <f>I6</f>
        <v>1.0355000000000001</v>
      </c>
      <c r="E91" s="915"/>
      <c r="F91" s="915"/>
      <c r="G91" s="122">
        <f>'[1]Detail 2025-26 FEFP Second'!AC3</f>
        <v>915.09</v>
      </c>
      <c r="H91" s="47" t="s">
        <v>68</v>
      </c>
      <c r="I91" s="734">
        <f>ROUND(B91*D91*G91,2)</f>
        <v>0</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626.03190000000006</v>
      </c>
      <c r="C92" s="109"/>
      <c r="D92" s="915">
        <f>I6</f>
        <v>1.0355000000000001</v>
      </c>
      <c r="E92" s="915"/>
      <c r="F92" s="915"/>
      <c r="G92" s="122">
        <f>'[1]Detail 2025-26 FEFP Second'!AD3</f>
        <v>917.3</v>
      </c>
      <c r="H92" s="47" t="s">
        <v>68</v>
      </c>
      <c r="I92" s="734">
        <f>ROUND(B92*D92*G92,2)</f>
        <v>594645.26</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626.03190000000006</v>
      </c>
      <c r="C93" s="109"/>
      <c r="D93" s="109"/>
      <c r="E93" s="867" t="s">
        <v>112</v>
      </c>
      <c r="F93" s="867"/>
      <c r="G93" s="867"/>
      <c r="H93" s="867"/>
      <c r="I93" s="867"/>
      <c r="J93" s="127">
        <f>IF(A1=75,0,I92+I91+I90)</f>
        <v>594645.26</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46</v>
      </c>
      <c r="D97" s="279">
        <v>125</v>
      </c>
      <c r="E97" s="942">
        <f>(C97+D97)/2</f>
        <v>85.5</v>
      </c>
      <c r="F97" s="871"/>
      <c r="G97" s="871"/>
      <c r="H97" s="224" t="s">
        <v>117</v>
      </c>
      <c r="I97" s="130">
        <f>IF(A1&gt;67,0,INDEX('[1]Transportation Per Student'!F$1:F$65536,MATCH(A1,'[1]Transportation Per Student'!B$1:B$65536)))</f>
        <v>617</v>
      </c>
      <c r="J97" s="138">
        <f>ROUND(I97*E97,2)</f>
        <v>52753.5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5205468.5100000007</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4954357.1600000011</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c r="I114" s="717">
        <f>IF(I111=1,J111,J109)</f>
        <v>4954357.1600000011</v>
      </c>
      <c r="J114" s="718">
        <f>ROUND(IF(E28=0,0,IF(E28&gt;250,-(((250/E28)*I114)*IF(H114="H",0.02,0.05)),IF(H114="H",-0.02*I114,-0.05*I114))),2)</f>
        <v>-98132.51</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5107336.0000000009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Payments'!R98</f>
        <v>-843747.38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4263588.620000001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426358.86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149585.35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CA24-E1C0-4582-B6B1-2F57AA4B9C2F}">
  <dimension ref="A1:Z207"/>
  <sheetViews>
    <sheetView topLeftCell="A102" workbookViewId="0">
      <selection activeCell="H114" sqref="H11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464</v>
      </c>
      <c r="B2" s="102"/>
      <c r="C2" s="102"/>
      <c r="D2" s="102"/>
      <c r="E2" s="100"/>
      <c r="F2" s="100"/>
      <c r="G2" s="100"/>
      <c r="H2" s="100"/>
      <c r="I2" s="100"/>
      <c r="J2" s="100"/>
      <c r="K2" s="6"/>
      <c r="L2" s="6"/>
      <c r="M2" s="6"/>
      <c r="N2" s="6"/>
      <c r="O2" s="6"/>
      <c r="P2" s="6"/>
      <c r="Q2" s="6"/>
      <c r="R2" s="920" t="str">
        <f>Revenue_Estimate_Worksheet_for___________Charter_School</f>
        <v>Revenue Estimate Worksheet: Renaissance Charter School at Wellington - 4001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Second'!$C$1:$C$65536,MATCH('4001'!$A$1,'[1]Detail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91.07</v>
      </c>
      <c r="D12" s="410">
        <v>0</v>
      </c>
      <c r="E12" s="824">
        <f t="shared" ref="E12:E27" si="0">IF($D$28=0,C12*2,C12+D12)</f>
        <v>182.14</v>
      </c>
      <c r="F12" s="824"/>
      <c r="G12" s="825">
        <v>1.1080000000000001</v>
      </c>
      <c r="H12" s="825"/>
      <c r="I12" s="577">
        <f>ROUND(E12*G12,4)</f>
        <v>201.81110000000001</v>
      </c>
      <c r="J12" s="578">
        <f t="shared" ref="J12:J27" si="1">ROUND(ROUND(ROUND(I12*$E$6,4)*($I$6),2)*(MAX($I$7,1)),2)</f>
        <v>1122741.2</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14</v>
      </c>
      <c r="D13" s="414">
        <v>0</v>
      </c>
      <c r="E13" s="832">
        <f t="shared" si="0"/>
        <v>28</v>
      </c>
      <c r="F13" s="832"/>
      <c r="G13" s="833">
        <v>1.1080000000000001</v>
      </c>
      <c r="H13" s="833"/>
      <c r="I13" s="577">
        <f t="shared" ref="I13:I27" si="2">ROUND(E13*G13,4)</f>
        <v>31.024000000000001</v>
      </c>
      <c r="J13" s="578">
        <f t="shared" si="1"/>
        <v>172596.67</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155.16999999999999</v>
      </c>
      <c r="D14" s="414">
        <v>0</v>
      </c>
      <c r="E14" s="832">
        <f t="shared" si="0"/>
        <v>310.33999999999997</v>
      </c>
      <c r="F14" s="832"/>
      <c r="G14" s="833">
        <v>1</v>
      </c>
      <c r="H14" s="833"/>
      <c r="I14" s="577">
        <f t="shared" si="2"/>
        <v>310.33999999999997</v>
      </c>
      <c r="J14" s="578">
        <f>ROUND(ROUND(ROUND(I14*$E$6,4)*($I$6),2)*(MAX($I$7,1)),2)</f>
        <v>1726522.99</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22</v>
      </c>
      <c r="D15" s="414">
        <v>0</v>
      </c>
      <c r="E15" s="832">
        <f t="shared" si="0"/>
        <v>44</v>
      </c>
      <c r="F15" s="832"/>
      <c r="G15" s="833">
        <v>1</v>
      </c>
      <c r="H15" s="833"/>
      <c r="I15" s="577">
        <f t="shared" si="2"/>
        <v>44</v>
      </c>
      <c r="J15" s="578">
        <f t="shared" si="1"/>
        <v>244786.4</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37.43</v>
      </c>
      <c r="D24" s="414">
        <v>0</v>
      </c>
      <c r="E24" s="832">
        <f t="shared" si="0"/>
        <v>74.86</v>
      </c>
      <c r="F24" s="832"/>
      <c r="G24" s="833">
        <v>1.165</v>
      </c>
      <c r="H24" s="833"/>
      <c r="I24" s="577">
        <f t="shared" si="2"/>
        <v>87.2119</v>
      </c>
      <c r="J24" s="578">
        <f t="shared" si="1"/>
        <v>485188.34</v>
      </c>
      <c r="M24" s="2"/>
      <c r="R24" s="756" t="s">
        <v>32</v>
      </c>
      <c r="S24" s="756"/>
      <c r="T24" s="897">
        <f t="shared" si="3"/>
        <v>0</v>
      </c>
      <c r="U24" s="897"/>
      <c r="V24" s="896">
        <v>1</v>
      </c>
      <c r="W24" s="896"/>
      <c r="X24" s="156">
        <f t="shared" si="4"/>
        <v>0</v>
      </c>
      <c r="Y24" s="266">
        <f t="shared" si="6"/>
        <v>0</v>
      </c>
    </row>
    <row r="25" spans="1:25" x14ac:dyDescent="0.25">
      <c r="A25" s="757" t="s">
        <v>33</v>
      </c>
      <c r="B25" s="757"/>
      <c r="C25" s="414">
        <v>21.33</v>
      </c>
      <c r="D25" s="414">
        <v>0</v>
      </c>
      <c r="E25" s="832">
        <f t="shared" si="0"/>
        <v>42.66</v>
      </c>
      <c r="F25" s="832"/>
      <c r="G25" s="833">
        <v>1.165</v>
      </c>
      <c r="H25" s="833"/>
      <c r="I25" s="577">
        <f t="shared" si="2"/>
        <v>49.698900000000002</v>
      </c>
      <c r="J25" s="578">
        <f t="shared" si="1"/>
        <v>276491.25</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26">
        <f>SUM(C12:C27)</f>
        <v>341</v>
      </c>
      <c r="D28" s="126">
        <f>SUM(D12:D27)</f>
        <v>0</v>
      </c>
      <c r="E28" s="837">
        <f>SUM(E12:E27)</f>
        <v>682</v>
      </c>
      <c r="F28" s="837"/>
      <c r="G28" s="838"/>
      <c r="H28" s="838"/>
      <c r="I28" s="23">
        <f>SUM(I12:I27)</f>
        <v>724.08589999999992</v>
      </c>
      <c r="J28" s="127">
        <f>SUM(J12:J27)</f>
        <v>4028326.8499999996</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724.08589999999992</v>
      </c>
      <c r="H33" s="838" t="s">
        <v>45</v>
      </c>
      <c r="I33" s="838"/>
      <c r="J33" s="32">
        <f>SUM(J32,J28)</f>
        <v>4028326.8499999996</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4028326.8499999996</v>
      </c>
      <c r="H36" s="223" t="s">
        <v>49</v>
      </c>
      <c r="I36" s="38">
        <v>6.6699999999999995E-2</v>
      </c>
      <c r="J36" s="131">
        <f>ROUND(G36*I36,2)</f>
        <v>268689.40000000002</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4028326.8499999996</v>
      </c>
      <c r="H37" s="223" t="s">
        <v>49</v>
      </c>
      <c r="I37" s="38">
        <v>5.4000000000000003E-3</v>
      </c>
      <c r="J37" s="131">
        <f>ROUND(G37*I37,2)</f>
        <v>21752.959999999999</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290442.36000000004</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9.5</v>
      </c>
      <c r="D41" s="414">
        <v>0</v>
      </c>
      <c r="E41" s="847">
        <f t="shared" ref="E41:E49" si="7">IF($D$50=0,C41*2,C41+D41)</f>
        <v>19</v>
      </c>
      <c r="F41" s="847"/>
      <c r="G41" s="223" t="s">
        <v>59</v>
      </c>
      <c r="H41" s="223">
        <v>251</v>
      </c>
      <c r="I41" s="136">
        <f>INDEX('[1]111-112-113 ADDITIONAL FUND'!D$1:D$65536,MATCH($A$1,'[1]111-112-113 ADDITIONAL FUND'!A$1:A$65536))</f>
        <v>1047</v>
      </c>
      <c r="J41" s="734">
        <f t="shared" ref="J41:J49" si="8">ROUND(E41*I41,2)</f>
        <v>19893</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2.5</v>
      </c>
      <c r="D42" s="414">
        <v>0</v>
      </c>
      <c r="E42" s="847">
        <f t="shared" si="7"/>
        <v>5</v>
      </c>
      <c r="F42" s="847"/>
      <c r="G42" s="223" t="s">
        <v>59</v>
      </c>
      <c r="H42" s="223">
        <v>252</v>
      </c>
      <c r="I42" s="136">
        <f>INDEX('[1]111-112-113 ADDITIONAL FUND'!E$1:E$65536,MATCH($A$1,'[1]111-112-113 ADDITIONAL FUND'!A$1:A$65536))</f>
        <v>3380</v>
      </c>
      <c r="J42" s="734">
        <f t="shared" si="8"/>
        <v>16900</v>
      </c>
      <c r="M42" s="2"/>
      <c r="R42" s="906"/>
      <c r="S42" s="906"/>
      <c r="T42" s="907"/>
      <c r="U42" s="907"/>
      <c r="V42" s="239" t="s">
        <v>59</v>
      </c>
      <c r="W42" s="239">
        <v>252</v>
      </c>
      <c r="X42" s="134">
        <f t="shared" si="9"/>
        <v>3380</v>
      </c>
      <c r="Y42" s="269">
        <f t="shared" ref="Y42:Y49" si="10">ROUND(T42*X42,2)</f>
        <v>0</v>
      </c>
    </row>
    <row r="43" spans="1:25" x14ac:dyDescent="0.25">
      <c r="A43" s="846"/>
      <c r="B43" s="846"/>
      <c r="C43" s="414">
        <v>2</v>
      </c>
      <c r="D43" s="414">
        <v>0</v>
      </c>
      <c r="E43" s="847">
        <f t="shared" si="7"/>
        <v>4</v>
      </c>
      <c r="F43" s="847"/>
      <c r="G43" s="223" t="s">
        <v>59</v>
      </c>
      <c r="H43" s="223">
        <v>253</v>
      </c>
      <c r="I43" s="136">
        <f>INDEX('[1]111-112-113 ADDITIONAL FUND'!F$1:F$65536,MATCH($A$1,'[1]111-112-113 ADDITIONAL FUND'!A$1:A$65536))</f>
        <v>6896</v>
      </c>
      <c r="J43" s="734">
        <f t="shared" si="8"/>
        <v>27584</v>
      </c>
      <c r="M43" s="2"/>
      <c r="R43" s="906"/>
      <c r="S43" s="906"/>
      <c r="T43" s="888"/>
      <c r="U43" s="888"/>
      <c r="V43" s="239" t="s">
        <v>59</v>
      </c>
      <c r="W43" s="239">
        <v>253</v>
      </c>
      <c r="X43" s="134">
        <f t="shared" si="9"/>
        <v>6896</v>
      </c>
      <c r="Y43" s="269">
        <f t="shared" si="10"/>
        <v>0</v>
      </c>
    </row>
    <row r="44" spans="1:25" x14ac:dyDescent="0.25">
      <c r="A44" s="846"/>
      <c r="B44" s="846"/>
      <c r="C44" s="414">
        <v>20</v>
      </c>
      <c r="D44" s="414">
        <v>0</v>
      </c>
      <c r="E44" s="847">
        <f t="shared" si="7"/>
        <v>40</v>
      </c>
      <c r="F44" s="847"/>
      <c r="G44" s="47" t="s">
        <v>60</v>
      </c>
      <c r="H44" s="223">
        <v>251</v>
      </c>
      <c r="I44" s="136">
        <f>INDEX('[1]111-112-113 ADDITIONAL FUND'!G$1:G$65536,MATCH($A$1,'[1]111-112-113 ADDITIONAL FUND'!A$1:A$65536))</f>
        <v>1173</v>
      </c>
      <c r="J44" s="734">
        <f t="shared" si="8"/>
        <v>46920</v>
      </c>
      <c r="L44" s="3"/>
      <c r="M44" s="2"/>
      <c r="Q44" s="4"/>
      <c r="R44" s="906"/>
      <c r="S44" s="906"/>
      <c r="T44" s="888"/>
      <c r="U44" s="888"/>
      <c r="V44" s="182" t="s">
        <v>60</v>
      </c>
      <c r="W44" s="239">
        <v>251</v>
      </c>
      <c r="X44" s="134">
        <f t="shared" si="9"/>
        <v>1173</v>
      </c>
      <c r="Y44" s="269">
        <f t="shared" si="10"/>
        <v>0</v>
      </c>
    </row>
    <row r="45" spans="1:25" x14ac:dyDescent="0.25">
      <c r="A45" s="846"/>
      <c r="B45" s="846"/>
      <c r="C45" s="414">
        <v>2</v>
      </c>
      <c r="D45" s="414">
        <v>0</v>
      </c>
      <c r="E45" s="847">
        <f t="shared" si="7"/>
        <v>4</v>
      </c>
      <c r="F45" s="847"/>
      <c r="G45" s="47" t="s">
        <v>60</v>
      </c>
      <c r="H45" s="223">
        <v>252</v>
      </c>
      <c r="I45" s="136">
        <f>INDEX('[1]111-112-113 ADDITIONAL FUND'!H$1:H$65536,MATCH($A$1,'[1]111-112-113 ADDITIONAL FUND'!A$1:A$65536))</f>
        <v>3506</v>
      </c>
      <c r="J45" s="734">
        <f t="shared" si="8"/>
        <v>14024</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734">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734">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36</v>
      </c>
      <c r="D50" s="584">
        <f>SUM(D41:D49)</f>
        <v>0</v>
      </c>
      <c r="E50" s="853">
        <f>SUM(E41:E49)</f>
        <v>72</v>
      </c>
      <c r="F50" s="853"/>
      <c r="G50" s="839" t="s">
        <v>63</v>
      </c>
      <c r="H50" s="839"/>
      <c r="I50" s="839"/>
      <c r="J50" s="276">
        <f>SUM(J41:J49)</f>
        <v>125321</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682</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3.1670000000000001E-3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724.08589999999992</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3.1610000000000002E-3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682</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3.6640000000000002E-3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682</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3.1719999999999999E-3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682</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3.6700000000000001E-3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3.1719999999999999E-3</v>
      </c>
      <c r="J68" s="138">
        <f>ROUND(G68*I68,2)</f>
        <v>150006.25</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3.1670000000000001E-3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3.6700000000000001E-3</v>
      </c>
      <c r="J71" s="138">
        <f>ROUND(G71*I71,2)</f>
        <v>70346.12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3.6640000000000002E-3</v>
      </c>
      <c r="J72" s="138">
        <f>ROUND(G72*I72,2)</f>
        <v>42307.8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3.1610000000000002E-3</v>
      </c>
      <c r="J85" s="138">
        <f>ROUND(G85*I85,2)</f>
        <v>849728.25</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3.1610000000000002E-3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3.1670000000000001E-3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320.04700000000003</v>
      </c>
      <c r="C90" s="245"/>
      <c r="D90" s="915">
        <f>I6</f>
        <v>1.0355000000000001</v>
      </c>
      <c r="E90" s="915"/>
      <c r="F90" s="915"/>
      <c r="G90" s="122">
        <f>'[1]Detail 2025-26 FEFP Second'!AB3</f>
        <v>958.42</v>
      </c>
      <c r="H90" s="47" t="s">
        <v>68</v>
      </c>
      <c r="I90" s="734">
        <f>ROUND(B90*D90*G90,2)</f>
        <v>317628.7</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404.03889999999996</v>
      </c>
      <c r="C91" s="245"/>
      <c r="D91" s="915">
        <f>I6</f>
        <v>1.0355000000000001</v>
      </c>
      <c r="E91" s="915"/>
      <c r="F91" s="915"/>
      <c r="G91" s="122">
        <f>'[1]Detail 2025-26 FEFP Second'!AC3</f>
        <v>915.09</v>
      </c>
      <c r="H91" s="47" t="s">
        <v>68</v>
      </c>
      <c r="I91" s="734">
        <f>ROUND(B91*D91*G91,2)</f>
        <v>382857.44</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73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724.08590000000004</v>
      </c>
      <c r="C93" s="109"/>
      <c r="D93" s="109"/>
      <c r="E93" s="867" t="s">
        <v>112</v>
      </c>
      <c r="F93" s="867"/>
      <c r="G93" s="867"/>
      <c r="H93" s="867"/>
      <c r="I93" s="867"/>
      <c r="J93" s="127">
        <f>IF(A1=75,0,I92+I91+I90)</f>
        <v>700486.14</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70</v>
      </c>
      <c r="D97" s="279">
        <v>102</v>
      </c>
      <c r="E97" s="942">
        <f>(C97+D97)/2</f>
        <v>86</v>
      </c>
      <c r="F97" s="871"/>
      <c r="G97" s="871"/>
      <c r="H97" s="224" t="s">
        <v>117</v>
      </c>
      <c r="I97" s="130">
        <f>IF(A1&gt;67,0,INDEX('[1]Transportation Per Student'!F$1:F$65536,MATCH(A1,'[1]Transportation Per Student'!B$1:B$65536)))</f>
        <v>617</v>
      </c>
      <c r="J97" s="138">
        <f>ROUND(I97*E97,2)</f>
        <v>53062</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6019584.4099999992</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5729142.0499999989</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5729142.0499999989</v>
      </c>
      <c r="J114" s="296">
        <f>ROUND(IF(E28=0,0,IF(E28&gt;250,-(((250/E28)*I114)*IF(H114="H",0.02,0.05)),IF(H114="H",-0.02*I114,-0.05*I114))),2)</f>
        <v>-105006.27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5914578.1399999997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Payments'!R99</f>
        <v>-979544.19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4935033.9499999993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493503.4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181450.83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059D-29DC-455A-97BC-3EE0077BD69A}">
  <dimension ref="A1:Z207"/>
  <sheetViews>
    <sheetView topLeftCell="A105" workbookViewId="0">
      <selection activeCell="A132" sqref="A132:J132"/>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465</v>
      </c>
      <c r="B2" s="102"/>
      <c r="C2" s="102"/>
      <c r="D2" s="102"/>
      <c r="E2" s="100"/>
      <c r="F2" s="100"/>
      <c r="G2" s="100"/>
      <c r="H2" s="100"/>
      <c r="I2" s="100"/>
      <c r="J2" s="100"/>
      <c r="K2" s="6"/>
      <c r="L2" s="6"/>
      <c r="M2" s="6"/>
      <c r="N2" s="6"/>
      <c r="O2" s="6"/>
      <c r="P2" s="6"/>
      <c r="Q2" s="6"/>
      <c r="R2" s="920" t="str">
        <f>Revenue_Estimate_Worksheet_for___________Charter_School</f>
        <v>Revenue Estimate Worksheet: Renaissance Charter School at Summit - 4002</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Second'!$C$1:$C$65536,MATCH('4002'!$A$1,'[1]Detail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Second'!$D$1:$D$65536,MATCH('4002'!$A$1,'[1]Detail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119.76</v>
      </c>
      <c r="D12" s="410">
        <v>0</v>
      </c>
      <c r="E12" s="824">
        <f t="shared" ref="E12:E27" si="0">IF($D$28=0,C12*2,C12+D12)</f>
        <v>239.52</v>
      </c>
      <c r="F12" s="824"/>
      <c r="G12" s="825">
        <v>1.1080000000000001</v>
      </c>
      <c r="H12" s="825"/>
      <c r="I12" s="577">
        <f>ROUND(E12*G12,4)</f>
        <v>265.38819999999998</v>
      </c>
      <c r="J12" s="578">
        <f t="shared" ref="J12:J27" si="1">ROUND(ROUND(ROUND(I12*$E$6,4)*($I$6),2)*(MAX($I$7,1)),2)</f>
        <v>1476441.42</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15.5</v>
      </c>
      <c r="D13" s="414">
        <v>0</v>
      </c>
      <c r="E13" s="832">
        <f t="shared" si="0"/>
        <v>31</v>
      </c>
      <c r="F13" s="832"/>
      <c r="G13" s="833">
        <v>1.1080000000000001</v>
      </c>
      <c r="H13" s="833"/>
      <c r="I13" s="577">
        <f t="shared" ref="I13:I27" si="2">ROUND(E13*G13,4)</f>
        <v>34.347999999999999</v>
      </c>
      <c r="J13" s="578">
        <f t="shared" si="1"/>
        <v>191089.17</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189.32</v>
      </c>
      <c r="D14" s="414">
        <v>0</v>
      </c>
      <c r="E14" s="832">
        <f t="shared" si="0"/>
        <v>378.64</v>
      </c>
      <c r="F14" s="832"/>
      <c r="G14" s="833">
        <v>1</v>
      </c>
      <c r="H14" s="833"/>
      <c r="I14" s="577">
        <f t="shared" si="2"/>
        <v>378.64</v>
      </c>
      <c r="J14" s="578">
        <f>ROUND(ROUND(ROUND(I14*$E$6,4)*($I$6),2)*(MAX($I$7,1)),2)</f>
        <v>2106498.25</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26.5</v>
      </c>
      <c r="D15" s="414">
        <v>0</v>
      </c>
      <c r="E15" s="832">
        <f t="shared" si="0"/>
        <v>53</v>
      </c>
      <c r="F15" s="832"/>
      <c r="G15" s="833">
        <v>1</v>
      </c>
      <c r="H15" s="833"/>
      <c r="I15" s="577">
        <f t="shared" si="2"/>
        <v>53</v>
      </c>
      <c r="J15" s="578">
        <f t="shared" si="1"/>
        <v>294856.34999999998</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95</v>
      </c>
      <c r="D24" s="414">
        <v>0</v>
      </c>
      <c r="E24" s="832">
        <f t="shared" si="0"/>
        <v>190</v>
      </c>
      <c r="F24" s="832"/>
      <c r="G24" s="833">
        <v>1.165</v>
      </c>
      <c r="H24" s="833"/>
      <c r="I24" s="577">
        <f t="shared" si="2"/>
        <v>221.35</v>
      </c>
      <c r="J24" s="578">
        <f t="shared" si="1"/>
        <v>1231442.5</v>
      </c>
      <c r="M24" s="2"/>
      <c r="R24" s="756" t="s">
        <v>32</v>
      </c>
      <c r="S24" s="756"/>
      <c r="T24" s="897">
        <f t="shared" si="3"/>
        <v>0</v>
      </c>
      <c r="U24" s="897"/>
      <c r="V24" s="896">
        <v>1</v>
      </c>
      <c r="W24" s="896"/>
      <c r="X24" s="156">
        <f t="shared" si="4"/>
        <v>0</v>
      </c>
      <c r="Y24" s="266">
        <f t="shared" si="6"/>
        <v>0</v>
      </c>
    </row>
    <row r="25" spans="1:25" x14ac:dyDescent="0.25">
      <c r="A25" s="757" t="s">
        <v>33</v>
      </c>
      <c r="B25" s="757"/>
      <c r="C25" s="414">
        <v>46</v>
      </c>
      <c r="D25" s="414">
        <v>0</v>
      </c>
      <c r="E25" s="832">
        <f t="shared" si="0"/>
        <v>92</v>
      </c>
      <c r="F25" s="832"/>
      <c r="G25" s="833">
        <v>1.165</v>
      </c>
      <c r="H25" s="833"/>
      <c r="I25" s="577">
        <f t="shared" si="2"/>
        <v>107.18</v>
      </c>
      <c r="J25" s="578">
        <f t="shared" si="1"/>
        <v>596277.42000000004</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492.08</v>
      </c>
      <c r="D28" s="126">
        <f>SUM(D12:D27)</f>
        <v>0</v>
      </c>
      <c r="E28" s="837">
        <f>SUM(E12:E27)</f>
        <v>984.16</v>
      </c>
      <c r="F28" s="837"/>
      <c r="G28" s="838"/>
      <c r="H28" s="838"/>
      <c r="I28" s="23">
        <f>SUM(I12:I27)</f>
        <v>1059.9061999999999</v>
      </c>
      <c r="J28" s="127">
        <f>SUM(J12:J27)</f>
        <v>5896605.1099999994</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1059.9061999999999</v>
      </c>
      <c r="H33" s="838" t="s">
        <v>45</v>
      </c>
      <c r="I33" s="838"/>
      <c r="J33" s="32">
        <f>SUM(J32,J28)</f>
        <v>5896605.1099999994</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5896605.1099999994</v>
      </c>
      <c r="H36" s="223" t="s">
        <v>49</v>
      </c>
      <c r="I36" s="38">
        <v>6.6699999999999995E-2</v>
      </c>
      <c r="J36" s="131">
        <f>ROUND(G36*I36,2)</f>
        <v>393303.56</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5896605.1099999994</v>
      </c>
      <c r="H37" s="223" t="s">
        <v>49</v>
      </c>
      <c r="I37" s="38">
        <v>5.4000000000000003E-3</v>
      </c>
      <c r="J37" s="131">
        <f>ROUND(G37*I37,2)</f>
        <v>31841.67</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425145.23</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10.5</v>
      </c>
      <c r="D41" s="414">
        <v>0</v>
      </c>
      <c r="E41" s="847">
        <f t="shared" ref="E41:E49" si="7">IF($D$50=0,C41*2,C41+D41)</f>
        <v>21</v>
      </c>
      <c r="F41" s="847"/>
      <c r="G41" s="223" t="s">
        <v>59</v>
      </c>
      <c r="H41" s="223">
        <v>251</v>
      </c>
      <c r="I41" s="136">
        <f>INDEX('[1]111-112-113 ADDITIONAL FUND'!D$1:D$65536,MATCH($A$1,'[1]111-112-113 ADDITIONAL FUND'!A$1:A$65536))</f>
        <v>1047</v>
      </c>
      <c r="J41" s="734">
        <f t="shared" ref="J41:J49" si="8">ROUND(E41*I41,2)</f>
        <v>21987</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5</v>
      </c>
      <c r="D42" s="414">
        <v>0</v>
      </c>
      <c r="E42" s="847">
        <f t="shared" si="7"/>
        <v>10</v>
      </c>
      <c r="F42" s="847"/>
      <c r="G42" s="223" t="s">
        <v>59</v>
      </c>
      <c r="H42" s="223">
        <v>252</v>
      </c>
      <c r="I42" s="136">
        <f>INDEX('[1]111-112-113 ADDITIONAL FUND'!E$1:E$65536,MATCH($A$1,'[1]111-112-113 ADDITIONAL FUND'!A$1:A$65536))</f>
        <v>3380</v>
      </c>
      <c r="J42" s="734">
        <f t="shared" si="8"/>
        <v>33800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23.5</v>
      </c>
      <c r="D44" s="414">
        <v>0</v>
      </c>
      <c r="E44" s="847">
        <f t="shared" si="7"/>
        <v>47</v>
      </c>
      <c r="F44" s="847"/>
      <c r="G44" s="47" t="s">
        <v>60</v>
      </c>
      <c r="H44" s="223">
        <v>251</v>
      </c>
      <c r="I44" s="136">
        <f>INDEX('[1]111-112-113 ADDITIONAL FUND'!G$1:G$65536,MATCH($A$1,'[1]111-112-113 ADDITIONAL FUND'!A$1:A$65536))</f>
        <v>1173</v>
      </c>
      <c r="J44" s="734">
        <f t="shared" si="8"/>
        <v>55131</v>
      </c>
      <c r="L44" s="3"/>
      <c r="M44" s="2"/>
      <c r="Q44" s="4"/>
      <c r="R44" s="906"/>
      <c r="S44" s="906"/>
      <c r="T44" s="888"/>
      <c r="U44" s="888"/>
      <c r="V44" s="182" t="s">
        <v>60</v>
      </c>
      <c r="W44" s="239">
        <v>251</v>
      </c>
      <c r="X44" s="134">
        <f t="shared" si="9"/>
        <v>1173</v>
      </c>
      <c r="Y44" s="269">
        <f t="shared" si="10"/>
        <v>0</v>
      </c>
    </row>
    <row r="45" spans="1:25" x14ac:dyDescent="0.25">
      <c r="A45" s="846"/>
      <c r="B45" s="846"/>
      <c r="C45" s="414">
        <v>3</v>
      </c>
      <c r="D45" s="414">
        <v>0</v>
      </c>
      <c r="E45" s="847">
        <f t="shared" si="7"/>
        <v>6</v>
      </c>
      <c r="F45" s="847"/>
      <c r="G45" s="47" t="s">
        <v>60</v>
      </c>
      <c r="H45" s="223">
        <v>252</v>
      </c>
      <c r="I45" s="136">
        <f>INDEX('[1]111-112-113 ADDITIONAL FUND'!H$1:H$65536,MATCH($A$1,'[1]111-112-113 ADDITIONAL FUND'!A$1:A$65536))</f>
        <v>3506</v>
      </c>
      <c r="J45" s="734">
        <f t="shared" si="8"/>
        <v>21036</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734">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734">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42</v>
      </c>
      <c r="D50" s="584">
        <f>SUM(D41:D49)</f>
        <v>0</v>
      </c>
      <c r="E50" s="853">
        <f>SUM(E41:E49)</f>
        <v>84</v>
      </c>
      <c r="F50" s="853"/>
      <c r="G50" s="839" t="s">
        <v>63</v>
      </c>
      <c r="H50" s="839"/>
      <c r="I50" s="839"/>
      <c r="J50" s="276">
        <f>SUM(J41:J49)</f>
        <v>131954</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984.16</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4.5710000000000004E-3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1059.9061999999999</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4.627E-3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984.16</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5.287E-3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984.16</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4.5770000000000003E-3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984.16</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5.2950000000000002E-3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4.5770000000000003E-3</v>
      </c>
      <c r="J68" s="138">
        <f>ROUND(G68*I68,2)</f>
        <v>216449.75</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740">
        <f>INDEX('[1]Detail 2025-26 FEFP Second'!L$1:L$65536,MATCH(A1,'[1]Detail 2025-26 FEFP Second'!A$1:A$65536))</f>
        <v>0</v>
      </c>
      <c r="H70" s="223" t="s">
        <v>81</v>
      </c>
      <c r="I70" s="41">
        <f>I54</f>
        <v>4.5710000000000004E-3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5.2950000000000002E-3</v>
      </c>
      <c r="J71" s="138">
        <f>ROUND(G71*I71,2)</f>
        <v>101493.93</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5.287E-3</v>
      </c>
      <c r="J72" s="138">
        <f>ROUND(G72*I72,2)</f>
        <v>61048.4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4.627E-3</v>
      </c>
      <c r="J85" s="138">
        <f>ROUND(G85*I85,2)</f>
        <v>1243812.92</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4.627E-3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4.5710000000000004E-3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521.08619999999996</v>
      </c>
      <c r="C90" s="245"/>
      <c r="D90" s="915">
        <f>I6</f>
        <v>1.0355000000000001</v>
      </c>
      <c r="E90" s="915"/>
      <c r="F90" s="915"/>
      <c r="G90" s="122">
        <f>'[1]Detail 2025-26 FEFP Second'!AB3</f>
        <v>958.42</v>
      </c>
      <c r="H90" s="47" t="s">
        <v>68</v>
      </c>
      <c r="I90" s="141">
        <f>ROUND(B90*D90*G90,2)</f>
        <v>517148.83</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538.81999999999994</v>
      </c>
      <c r="C91" s="245"/>
      <c r="D91" s="915">
        <f>I6</f>
        <v>1.0355000000000001</v>
      </c>
      <c r="E91" s="915"/>
      <c r="F91" s="915"/>
      <c r="G91" s="122">
        <f>'[1]Detail 2025-26 FEFP Second'!AC3</f>
        <v>915.09</v>
      </c>
      <c r="H91" s="47" t="s">
        <v>68</v>
      </c>
      <c r="I91" s="140">
        <f>ROUND(B91*D91*G91,2)</f>
        <v>510572.74</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1059.9061999999999</v>
      </c>
      <c r="C93" s="109"/>
      <c r="D93" s="109"/>
      <c r="E93" s="867" t="s">
        <v>112</v>
      </c>
      <c r="F93" s="867"/>
      <c r="G93" s="867"/>
      <c r="H93" s="867"/>
      <c r="I93" s="867"/>
      <c r="J93" s="127">
        <f>IF(A1=75,0,I92+I91+I90)</f>
        <v>1027721.5700000001</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0</v>
      </c>
      <c r="D97" s="279">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8679085.6799999997</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8253940.4499999993</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c r="I114" s="717">
        <f>IF(I111=1,J111,J109)</f>
        <v>8253940.4499999993</v>
      </c>
      <c r="J114" s="718">
        <f>ROUND(IF(E28=0,0,IF(E28&gt;250,-(((250/E28)*I114)*IF(H114="H",0.02,0.05)),IF(H114="H",-0.02*I114,-0.05*I114))),2)</f>
        <v>-104834.84</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8574250.8399999999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Payments'!R100</f>
        <v>-1422501.79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7151749.0499999998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715174.91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307862.18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382C-0C61-48E7-BEF0-2DA4B2E25161}">
  <dimension ref="A1:Z207"/>
  <sheetViews>
    <sheetView topLeftCell="A105" workbookViewId="0">
      <selection activeCell="J127" sqref="J12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466</v>
      </c>
      <c r="B2" s="102"/>
      <c r="C2" s="102"/>
      <c r="D2" s="102"/>
      <c r="E2" s="100"/>
      <c r="F2" s="100"/>
      <c r="G2" s="100"/>
      <c r="H2" s="100"/>
      <c r="I2" s="100"/>
      <c r="J2" s="100"/>
      <c r="K2" s="6"/>
      <c r="L2" s="6"/>
      <c r="M2" s="6"/>
      <c r="N2" s="6"/>
      <c r="O2" s="6"/>
      <c r="P2" s="6"/>
      <c r="Q2" s="6"/>
      <c r="R2" s="920" t="str">
        <f>Revenue_Estimate_Worksheet_for___________Charter_School</f>
        <v>Revenue Estimate Worksheet: Somerset Academy Canyons Middle School - 4012</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Second'!$C$1:$C$65536,MATCH('4012'!$A$1,'[1]Detail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Second'!$D$1:$D$65536,MATCH('4012'!$A$1,'[1]Detail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248.07</v>
      </c>
      <c r="D14" s="414">
        <v>0</v>
      </c>
      <c r="E14" s="832">
        <f t="shared" si="0"/>
        <v>496.14</v>
      </c>
      <c r="F14" s="832"/>
      <c r="G14" s="833">
        <v>1</v>
      </c>
      <c r="H14" s="833"/>
      <c r="I14" s="577">
        <f t="shared" si="2"/>
        <v>496.14</v>
      </c>
      <c r="J14" s="578">
        <f>ROUND(ROUND(ROUND(I14*$E$6,4)*($I$6),2)*(MAX($I$7,1)),2)</f>
        <v>2760189.21</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44.5</v>
      </c>
      <c r="D15" s="414">
        <v>0</v>
      </c>
      <c r="E15" s="832">
        <f t="shared" si="0"/>
        <v>89</v>
      </c>
      <c r="F15" s="832"/>
      <c r="G15" s="833">
        <v>1</v>
      </c>
      <c r="H15" s="833"/>
      <c r="I15" s="577">
        <f t="shared" si="2"/>
        <v>89</v>
      </c>
      <c r="J15" s="578">
        <f t="shared" si="1"/>
        <v>495136.13</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5.51</v>
      </c>
      <c r="D25" s="414">
        <v>0</v>
      </c>
      <c r="E25" s="832">
        <f t="shared" si="0"/>
        <v>11.02</v>
      </c>
      <c r="F25" s="832"/>
      <c r="G25" s="833">
        <v>1.165</v>
      </c>
      <c r="H25" s="833"/>
      <c r="I25" s="577">
        <f t="shared" si="2"/>
        <v>12.8383</v>
      </c>
      <c r="J25" s="578">
        <f t="shared" si="1"/>
        <v>71423.66</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298.08</v>
      </c>
      <c r="D28" s="126">
        <f>SUM(D12:D27)</f>
        <v>0</v>
      </c>
      <c r="E28" s="837">
        <f>SUM(E12:E27)</f>
        <v>596.16</v>
      </c>
      <c r="F28" s="837"/>
      <c r="G28" s="838"/>
      <c r="H28" s="838"/>
      <c r="I28" s="23">
        <f>SUM(I12:I27)</f>
        <v>597.97829999999999</v>
      </c>
      <c r="J28" s="127">
        <f>SUM(J12:J27)</f>
        <v>3326749</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597.97829999999999</v>
      </c>
      <c r="H33" s="838" t="s">
        <v>45</v>
      </c>
      <c r="I33" s="838"/>
      <c r="J33" s="32">
        <f>SUM(J32,J28)</f>
        <v>3326749</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3326749</v>
      </c>
      <c r="H36" s="223" t="s">
        <v>49</v>
      </c>
      <c r="I36" s="38">
        <v>6.6699999999999995E-2</v>
      </c>
      <c r="J36" s="131">
        <f>ROUND(G36*I36,2)</f>
        <v>221894.16</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3326749</v>
      </c>
      <c r="H37" s="223" t="s">
        <v>49</v>
      </c>
      <c r="I37" s="38">
        <v>5.4000000000000003E-3</v>
      </c>
      <c r="J37" s="131">
        <f>ROUND(G37*I37,2)</f>
        <v>17964.439999999999</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239858.6</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734">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734">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41.49</v>
      </c>
      <c r="D44" s="414">
        <v>0</v>
      </c>
      <c r="E44" s="847">
        <f t="shared" si="7"/>
        <v>82.98</v>
      </c>
      <c r="F44" s="847"/>
      <c r="G44" s="47" t="s">
        <v>60</v>
      </c>
      <c r="H44" s="223">
        <v>251</v>
      </c>
      <c r="I44" s="136">
        <f>INDEX('[1]111-112-113 ADDITIONAL FUND'!G$1:G$65536,MATCH($A$1,'[1]111-112-113 ADDITIONAL FUND'!A$1:A$65536))</f>
        <v>1173</v>
      </c>
      <c r="J44" s="734">
        <f t="shared" si="8"/>
        <v>97335.54</v>
      </c>
      <c r="L44" s="3"/>
      <c r="M44" s="2"/>
      <c r="Q44" s="4"/>
      <c r="R44" s="906"/>
      <c r="S44" s="906"/>
      <c r="T44" s="888"/>
      <c r="U44" s="888"/>
      <c r="V44" s="182" t="s">
        <v>60</v>
      </c>
      <c r="W44" s="239">
        <v>251</v>
      </c>
      <c r="X44" s="134">
        <f t="shared" si="9"/>
        <v>1173</v>
      </c>
      <c r="Y44" s="269">
        <f t="shared" si="10"/>
        <v>0</v>
      </c>
    </row>
    <row r="45" spans="1:25" x14ac:dyDescent="0.25">
      <c r="A45" s="846"/>
      <c r="B45" s="846"/>
      <c r="C45" s="414">
        <v>3.01</v>
      </c>
      <c r="D45" s="414">
        <v>0</v>
      </c>
      <c r="E45" s="847">
        <f t="shared" si="7"/>
        <v>6.02</v>
      </c>
      <c r="F45" s="847"/>
      <c r="G45" s="47" t="s">
        <v>60</v>
      </c>
      <c r="H45" s="223">
        <v>252</v>
      </c>
      <c r="I45" s="136">
        <f>INDEX('[1]111-112-113 ADDITIONAL FUND'!H$1:H$65536,MATCH($A$1,'[1]111-112-113 ADDITIONAL FUND'!A$1:A$65536))</f>
        <v>3506</v>
      </c>
      <c r="J45" s="734">
        <f t="shared" si="8"/>
        <v>21106.12</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734">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734">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44.5</v>
      </c>
      <c r="D50" s="584">
        <f>SUM(D41:D49)</f>
        <v>0</v>
      </c>
      <c r="E50" s="853">
        <f>SUM(E41:E49)</f>
        <v>89</v>
      </c>
      <c r="F50" s="853"/>
      <c r="G50" s="839" t="s">
        <v>63</v>
      </c>
      <c r="H50" s="839"/>
      <c r="I50" s="839"/>
      <c r="J50" s="276">
        <f>SUM(J41:J49)</f>
        <v>118441.65999999999</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596.16</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2.7690000000000002E-3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597.97829999999999</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2.611E-3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596.16</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3.202E-3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596.16</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2.7729999999999999E-3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596.16</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3.2079999999999999E-3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2.7729999999999999E-3</v>
      </c>
      <c r="J68" s="138">
        <f>ROUND(G68*I68,2)</f>
        <v>131137.24</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2.7690000000000002E-3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3.2079999999999999E-3</v>
      </c>
      <c r="J71" s="138">
        <f>ROUND(G71*I71,2)</f>
        <v>61490.559999999998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3.202E-3</v>
      </c>
      <c r="J72" s="138">
        <f>ROUND(G72*I72,2)</f>
        <v>36973.14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14.6</v>
      </c>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14.6</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1.274E-3</v>
      </c>
      <c r="J84" s="735">
        <f>ROUND(G84*I84,2)</f>
        <v>80605.63</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2.611E-3</v>
      </c>
      <c r="J85" s="735">
        <f>ROUND(G85*I85,2)</f>
        <v>701879.3</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2.611E-3</v>
      </c>
      <c r="J86" s="735">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2.7690000000000002E-3</v>
      </c>
      <c r="J87" s="735">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734">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597.97829999999999</v>
      </c>
      <c r="C91" s="245"/>
      <c r="D91" s="915">
        <f>I6</f>
        <v>1.0355000000000001</v>
      </c>
      <c r="E91" s="915"/>
      <c r="F91" s="915"/>
      <c r="G91" s="122">
        <f>'[1]Detail 2025-26 FEFP Second'!AC3</f>
        <v>915.09</v>
      </c>
      <c r="H91" s="47" t="s">
        <v>68</v>
      </c>
      <c r="I91" s="734">
        <f>ROUND(B91*D91*G91,2)</f>
        <v>566629.69999999995</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73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597.97829999999999</v>
      </c>
      <c r="C93" s="109"/>
      <c r="D93" s="109"/>
      <c r="E93" s="867" t="s">
        <v>112</v>
      </c>
      <c r="F93" s="867"/>
      <c r="G93" s="867"/>
      <c r="H93" s="867"/>
      <c r="I93" s="867"/>
      <c r="J93" s="127">
        <f>IF(A1=75,0,I92+I91+I90)</f>
        <v>566629.69999999995</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2</v>
      </c>
      <c r="D97" s="279">
        <v>1</v>
      </c>
      <c r="E97" s="942">
        <f>(C97+D97)/2</f>
        <v>1.5</v>
      </c>
      <c r="F97" s="871"/>
      <c r="G97" s="871"/>
      <c r="H97" s="224" t="s">
        <v>117</v>
      </c>
      <c r="I97" s="130">
        <f>IF(A1&gt;67,0,INDEX('[1]Transportation Per Student'!F$1:F$65536,MATCH(A1,'[1]Transportation Per Student'!B$1:B$65536)))</f>
        <v>617</v>
      </c>
      <c r="J97" s="138">
        <f>ROUND(I97*E97,2)</f>
        <v>925.5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5024831.7299999995</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4784973.13</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t="s">
        <v>436</v>
      </c>
      <c r="I114" s="717">
        <f>IF(I111=1,J111,J109)</f>
        <v>4784973.13</v>
      </c>
      <c r="J114" s="718">
        <f>ROUND(IF(E28=0,0,IF(E28&gt;250,-(((250/E28)*I114)*IF(H114="H",0.02,0.05)),IF(H114="H",-0.02*I114,-0.05*I114))),2)</f>
        <v>-40131.620000000003</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4984700.1099999994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Payments'!R101</f>
        <v>-810716.52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4173983.5899999994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417398.36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55567.839999999997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88C7-B851-4E83-8B95-DBDDF7BDEA32}">
  <dimension ref="A1:Z207"/>
  <sheetViews>
    <sheetView topLeftCell="A100" workbookViewId="0">
      <selection activeCell="J82" sqref="J82"/>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467</v>
      </c>
      <c r="B2" s="102"/>
      <c r="C2" s="102"/>
      <c r="D2" s="102"/>
      <c r="E2" s="100"/>
      <c r="F2" s="100"/>
      <c r="G2" s="100"/>
      <c r="H2" s="100"/>
      <c r="I2" s="100"/>
      <c r="J2" s="100"/>
      <c r="K2" s="6"/>
      <c r="L2" s="6"/>
      <c r="M2" s="6"/>
      <c r="N2" s="6"/>
      <c r="O2" s="6"/>
      <c r="P2" s="6"/>
      <c r="Q2" s="6"/>
      <c r="R2" s="920" t="str">
        <f>Revenue_Estimate_Worksheet_for___________Charter_School</f>
        <v>Revenue Estimate Worksheet: Somerset Academy Canyons High School - 4013</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Second'!$C$1:$C$65536,MATCH('4013'!$A$1,'[1]Detail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Second'!$D$1:$D$65536,MATCH('4013'!$A$1,'[1]Detail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444.17</v>
      </c>
      <c r="D16" s="414">
        <v>0</v>
      </c>
      <c r="E16" s="832">
        <f t="shared" si="0"/>
        <v>888.34</v>
      </c>
      <c r="F16" s="832"/>
      <c r="G16" s="833">
        <v>0.97199999999999998</v>
      </c>
      <c r="H16" s="833"/>
      <c r="I16" s="577">
        <f t="shared" si="2"/>
        <v>863.4665</v>
      </c>
      <c r="J16" s="578">
        <f t="shared" si="1"/>
        <v>4803746.75</v>
      </c>
      <c r="M16" s="2"/>
      <c r="R16" s="756" t="s">
        <v>24</v>
      </c>
      <c r="S16" s="756"/>
      <c r="T16" s="897">
        <f t="shared" si="3"/>
        <v>0</v>
      </c>
      <c r="U16" s="897"/>
      <c r="V16" s="896">
        <v>1</v>
      </c>
      <c r="W16" s="896"/>
      <c r="X16" s="156">
        <f t="shared" si="4"/>
        <v>0</v>
      </c>
      <c r="Y16" s="266">
        <f t="shared" si="6"/>
        <v>0</v>
      </c>
    </row>
    <row r="17" spans="1:25" x14ac:dyDescent="0.25">
      <c r="A17" s="757" t="s">
        <v>25</v>
      </c>
      <c r="B17" s="757"/>
      <c r="C17" s="414">
        <v>39.89</v>
      </c>
      <c r="D17" s="414">
        <v>0</v>
      </c>
      <c r="E17" s="832">
        <f t="shared" si="0"/>
        <v>79.78</v>
      </c>
      <c r="F17" s="832"/>
      <c r="G17" s="833">
        <v>0.97199999999999998</v>
      </c>
      <c r="H17" s="833"/>
      <c r="I17" s="577">
        <f t="shared" si="2"/>
        <v>77.546199999999999</v>
      </c>
      <c r="J17" s="578">
        <f t="shared" si="1"/>
        <v>431414.89</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6.15</v>
      </c>
      <c r="D26" s="414">
        <v>0</v>
      </c>
      <c r="E26" s="832">
        <f t="shared" si="0"/>
        <v>12.3</v>
      </c>
      <c r="F26" s="832"/>
      <c r="G26" s="833">
        <v>1.165</v>
      </c>
      <c r="H26" s="833"/>
      <c r="I26" s="577">
        <f t="shared" si="2"/>
        <v>14.329499999999999</v>
      </c>
      <c r="J26" s="578">
        <f t="shared" si="1"/>
        <v>79719.7</v>
      </c>
      <c r="M26" s="2"/>
      <c r="R26" s="756" t="s">
        <v>34</v>
      </c>
      <c r="S26" s="756"/>
      <c r="T26" s="897">
        <f t="shared" si="3"/>
        <v>0</v>
      </c>
      <c r="U26" s="897"/>
      <c r="V26" s="896">
        <v>1</v>
      </c>
      <c r="W26" s="896"/>
      <c r="X26" s="156">
        <f t="shared" si="4"/>
        <v>0</v>
      </c>
      <c r="Y26" s="266">
        <f t="shared" si="6"/>
        <v>0</v>
      </c>
    </row>
    <row r="27" spans="1:25" x14ac:dyDescent="0.25">
      <c r="A27" s="764" t="s">
        <v>35</v>
      </c>
      <c r="B27" s="764"/>
      <c r="C27" s="415">
        <v>20.46</v>
      </c>
      <c r="D27" s="415">
        <v>0</v>
      </c>
      <c r="E27" s="834">
        <f t="shared" si="0"/>
        <v>40.92</v>
      </c>
      <c r="F27" s="834"/>
      <c r="G27" s="835">
        <v>1.081</v>
      </c>
      <c r="H27" s="835"/>
      <c r="I27" s="22">
        <f t="shared" si="2"/>
        <v>44.234499999999997</v>
      </c>
      <c r="J27" s="127">
        <f t="shared" si="1"/>
        <v>246091</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510.66999999999996</v>
      </c>
      <c r="D28" s="126">
        <f>SUM(D12:D27)</f>
        <v>0</v>
      </c>
      <c r="E28" s="936">
        <f>SUM(E12:E27)</f>
        <v>1021.3399999999999</v>
      </c>
      <c r="F28" s="936"/>
      <c r="G28" s="838"/>
      <c r="H28" s="838"/>
      <c r="I28" s="23">
        <f>SUM(I12:I27)</f>
        <v>999.57670000000007</v>
      </c>
      <c r="J28" s="127">
        <f>SUM(J12:J27)</f>
        <v>5560972.3399999999</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999.57670000000007</v>
      </c>
      <c r="H33" s="838" t="s">
        <v>45</v>
      </c>
      <c r="I33" s="838"/>
      <c r="J33" s="32">
        <f>SUM(J32,J28)</f>
        <v>5560972.3399999999</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5560972.3399999999</v>
      </c>
      <c r="H36" s="223" t="s">
        <v>49</v>
      </c>
      <c r="I36" s="38">
        <v>6.6699999999999995E-2</v>
      </c>
      <c r="J36" s="131">
        <f>ROUND(G36*I36,2)</f>
        <v>370916.86</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5560972.3399999999</v>
      </c>
      <c r="H37" s="223" t="s">
        <v>49</v>
      </c>
      <c r="I37" s="38">
        <v>5.4000000000000003E-3</v>
      </c>
      <c r="J37" s="131">
        <f>ROUND(G37*I37,2)</f>
        <v>30029.25</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400946.11</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734">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734">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734">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734">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36.880000000000003</v>
      </c>
      <c r="D47" s="414">
        <v>0</v>
      </c>
      <c r="E47" s="847">
        <f t="shared" si="7"/>
        <v>73.760000000000005</v>
      </c>
      <c r="F47" s="847"/>
      <c r="G47" s="47" t="s">
        <v>61</v>
      </c>
      <c r="H47" s="223">
        <v>251</v>
      </c>
      <c r="I47" s="136">
        <f>INDEX('[1]111-112-113 ADDITIONAL FUND'!J$1:J$65536,MATCH($A$1,'[1]111-112-113 ADDITIONAL FUND'!A$1:A$65536))</f>
        <v>835</v>
      </c>
      <c r="J47" s="734">
        <f t="shared" si="8"/>
        <v>61589.599999999999</v>
      </c>
      <c r="M47" s="2"/>
      <c r="R47" s="906"/>
      <c r="S47" s="906"/>
      <c r="T47" s="888"/>
      <c r="U47" s="888"/>
      <c r="V47" s="182" t="s">
        <v>61</v>
      </c>
      <c r="W47" s="239">
        <v>251</v>
      </c>
      <c r="X47" s="134">
        <f t="shared" si="9"/>
        <v>835</v>
      </c>
      <c r="Y47" s="269">
        <f t="shared" si="10"/>
        <v>0</v>
      </c>
    </row>
    <row r="48" spans="1:25" ht="15.75" customHeight="1" x14ac:dyDescent="0.25">
      <c r="A48" s="846"/>
      <c r="B48" s="846"/>
      <c r="C48" s="414">
        <v>3.01</v>
      </c>
      <c r="D48" s="414">
        <v>0</v>
      </c>
      <c r="E48" s="847">
        <f t="shared" si="7"/>
        <v>6.02</v>
      </c>
      <c r="F48" s="847"/>
      <c r="G48" s="47" t="s">
        <v>61</v>
      </c>
      <c r="H48" s="223">
        <v>252</v>
      </c>
      <c r="I48" s="136">
        <f>INDEX('[1]111-112-113 ADDITIONAL FUND'!K$1:K$65536,MATCH($A$1,'[1]111-112-113 ADDITIONAL FUND'!A$1:A$65536))</f>
        <v>3168</v>
      </c>
      <c r="J48" s="734">
        <f t="shared" si="8"/>
        <v>19071.36</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39.89</v>
      </c>
      <c r="D50" s="584">
        <f>SUM(D41:D49)</f>
        <v>0</v>
      </c>
      <c r="E50" s="853">
        <f>SUM(E41:E49)</f>
        <v>79.78</v>
      </c>
      <c r="F50" s="853"/>
      <c r="G50" s="839" t="s">
        <v>63</v>
      </c>
      <c r="H50" s="839"/>
      <c r="I50" s="839"/>
      <c r="J50" s="276">
        <f>SUM(J41:J49)</f>
        <v>80660.959999999992</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1021.3399999999999</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4.7429999999999998E-3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999.57670000000007</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4.3639999999999998E-3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1021.3399999999999</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5.4860000000000004E-3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1021.3399999999999</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4.7499999999999999E-3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1021.3399999999999</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5.4949999999999999E-3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4.7499999999999999E-3</v>
      </c>
      <c r="J68" s="138">
        <f>ROUND(G68*I68,2)</f>
        <v>224631.05</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4.7429999999999998E-3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5.4949999999999999E-3</v>
      </c>
      <c r="J71" s="138">
        <f>ROUND(G71*I71,2)</f>
        <v>105327.51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5.4860000000000004E-3</v>
      </c>
      <c r="J72" s="138">
        <f>ROUND(G72*I72,2)</f>
        <v>63346.23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v>32.159999999999997</v>
      </c>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v>135.04</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28.1</v>
      </c>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v>19.12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214.42</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1.8707999999999999E-2</v>
      </c>
      <c r="J84" s="62">
        <f>ROUND(G84*I84,2)</f>
        <v>1183650.05</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4.3639999999999998E-3</v>
      </c>
      <c r="J85" s="138">
        <f>ROUND(G85*I85,2)</f>
        <v>1173114.24</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4.3639999999999998E-3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4.7429999999999998E-3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734">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0</v>
      </c>
      <c r="C91" s="245"/>
      <c r="D91" s="915">
        <f>I6</f>
        <v>1.0355000000000001</v>
      </c>
      <c r="E91" s="915"/>
      <c r="F91" s="915"/>
      <c r="G91" s="122">
        <f>'[1]Detail 2025-26 FEFP Second'!AC3</f>
        <v>915.09</v>
      </c>
      <c r="H91" s="47" t="s">
        <v>68</v>
      </c>
      <c r="I91" s="734">
        <f>ROUND(B91*D91*G91,2)</f>
        <v>0</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999.57670000000007</v>
      </c>
      <c r="C92" s="109"/>
      <c r="D92" s="915">
        <f>I6</f>
        <v>1.0355000000000001</v>
      </c>
      <c r="E92" s="915"/>
      <c r="F92" s="915"/>
      <c r="G92" s="122">
        <f>'[1]Detail 2025-26 FEFP Second'!AD3</f>
        <v>917.3</v>
      </c>
      <c r="H92" s="47" t="s">
        <v>68</v>
      </c>
      <c r="I92" s="734">
        <f>ROUND(B92*D92*G92,2)</f>
        <v>949462.07</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999.57670000000007</v>
      </c>
      <c r="C93" s="109"/>
      <c r="D93" s="109"/>
      <c r="E93" s="867" t="s">
        <v>112</v>
      </c>
      <c r="F93" s="867"/>
      <c r="G93" s="867"/>
      <c r="H93" s="867"/>
      <c r="I93" s="867"/>
      <c r="J93" s="127">
        <f>IF(A1=75,0,I92+I91+I90)</f>
        <v>949462.07</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0</v>
      </c>
      <c r="D97" s="279">
        <v>1</v>
      </c>
      <c r="E97" s="942">
        <f>(C97+D97)/2</f>
        <v>0.5</v>
      </c>
      <c r="F97" s="871"/>
      <c r="G97" s="871"/>
      <c r="H97" s="224" t="s">
        <v>117</v>
      </c>
      <c r="I97" s="130">
        <f>IF(A1&gt;67,0,INDEX('[1]Transportation Per Student'!F$1:F$65536,MATCH(A1,'[1]Transportation Per Student'!B$1:B$65536)))</f>
        <v>617</v>
      </c>
      <c r="J97" s="138">
        <f>ROUND(I97*E97,2)</f>
        <v>308.5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9341472.9499999993</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8940526.8399999999</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294" t="s">
        <v>436</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8940526.8399999999</v>
      </c>
      <c r="J114" s="296">
        <f>ROUND(IF(E28=0,0,IF(E28&gt;250,-(((250/E28)*I114)*IF(H113="H",0.02,0.05)),IF(H113="H",-0.02*I114,-0.05*I114))),2)</f>
        <v>-43768.61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9297704.3399999999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Payments'!R102</f>
        <v>-1345121.63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7952582.71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795258.27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135041.93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BD22-D2C5-4D34-A819-E0350414E924}">
  <dimension ref="A1:Z207"/>
  <sheetViews>
    <sheetView topLeftCell="A100" workbookViewId="0">
      <selection activeCell="H113" sqref="H113:J126"/>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468</v>
      </c>
      <c r="B2" s="102"/>
      <c r="C2" s="102"/>
      <c r="D2" s="102"/>
      <c r="E2" s="100"/>
      <c r="F2" s="100"/>
      <c r="G2" s="100"/>
      <c r="H2" s="100"/>
      <c r="I2" s="100"/>
      <c r="J2" s="100"/>
      <c r="K2" s="6"/>
      <c r="L2" s="6"/>
      <c r="M2" s="6"/>
      <c r="N2" s="6"/>
      <c r="O2" s="6"/>
      <c r="P2" s="6"/>
      <c r="Q2" s="6"/>
      <c r="R2" s="920" t="str">
        <f>Revenue_Estimate_Worksheet_for___________Charter_School</f>
        <v>Revenue Estimate Worksheet: Franklin Academy - Boynton Beach - 4020</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Second'!$C$1:$C$65536,MATCH('4020'!$A$1,'[1]Detail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Second'!$D$1:$D$65536,MATCH('4020'!$A$1,'[1]Detail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229.06</v>
      </c>
      <c r="D12" s="410">
        <v>0</v>
      </c>
      <c r="E12" s="824">
        <f t="shared" ref="E12:E27" si="0">IF($D$28=0,C12*2,C12+D12)</f>
        <v>458.12</v>
      </c>
      <c r="F12" s="824"/>
      <c r="G12" s="825">
        <v>1.1080000000000001</v>
      </c>
      <c r="H12" s="825"/>
      <c r="I12" s="577">
        <f>ROUND(E12*G12,4)</f>
        <v>507.59699999999998</v>
      </c>
      <c r="J12" s="578">
        <f t="shared" ref="J12:J27" si="1">ROUND(ROUND(ROUND(I12*$E$6,4)*($I$6),2)*(MAX($I$7,1)),2)</f>
        <v>2823928.25</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32.5</v>
      </c>
      <c r="D13" s="414">
        <v>0</v>
      </c>
      <c r="E13" s="832">
        <f t="shared" si="0"/>
        <v>65</v>
      </c>
      <c r="F13" s="832"/>
      <c r="G13" s="833">
        <v>1.1080000000000001</v>
      </c>
      <c r="H13" s="833"/>
      <c r="I13" s="577">
        <f t="shared" ref="I13:I27" si="2">ROUND(E13*G13,4)</f>
        <v>72.02</v>
      </c>
      <c r="J13" s="578">
        <f t="shared" si="1"/>
        <v>400670.83</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282.52999999999997</v>
      </c>
      <c r="D14" s="414">
        <v>0</v>
      </c>
      <c r="E14" s="832">
        <f t="shared" si="0"/>
        <v>565.05999999999995</v>
      </c>
      <c r="F14" s="832"/>
      <c r="G14" s="833">
        <v>1</v>
      </c>
      <c r="H14" s="833"/>
      <c r="I14" s="577">
        <f t="shared" si="2"/>
        <v>565.05999999999995</v>
      </c>
      <c r="J14" s="578">
        <f>ROUND(ROUND(ROUND(I14*$E$6,4)*($I$6),2)*(MAX($I$7,1)),2)</f>
        <v>3143613.72</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42.5</v>
      </c>
      <c r="D15" s="414">
        <v>0</v>
      </c>
      <c r="E15" s="832">
        <f t="shared" si="0"/>
        <v>85</v>
      </c>
      <c r="F15" s="832"/>
      <c r="G15" s="833">
        <v>1</v>
      </c>
      <c r="H15" s="833"/>
      <c r="I15" s="577">
        <f t="shared" si="2"/>
        <v>85</v>
      </c>
      <c r="J15" s="578">
        <f t="shared" si="1"/>
        <v>472882.82</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24.21</v>
      </c>
      <c r="D24" s="414">
        <v>0</v>
      </c>
      <c r="E24" s="832">
        <f t="shared" si="0"/>
        <v>48.42</v>
      </c>
      <c r="F24" s="832"/>
      <c r="G24" s="833">
        <v>1.165</v>
      </c>
      <c r="H24" s="833"/>
      <c r="I24" s="577">
        <f t="shared" si="2"/>
        <v>56.409300000000002</v>
      </c>
      <c r="J24" s="578">
        <f t="shared" si="1"/>
        <v>313823.40000000002</v>
      </c>
      <c r="M24" s="2"/>
      <c r="R24" s="756" t="s">
        <v>32</v>
      </c>
      <c r="S24" s="756"/>
      <c r="T24" s="897">
        <f t="shared" si="3"/>
        <v>0</v>
      </c>
      <c r="U24" s="897"/>
      <c r="V24" s="896">
        <v>1</v>
      </c>
      <c r="W24" s="896"/>
      <c r="X24" s="156">
        <f t="shared" si="4"/>
        <v>0</v>
      </c>
      <c r="Y24" s="266">
        <f t="shared" si="6"/>
        <v>0</v>
      </c>
    </row>
    <row r="25" spans="1:25" x14ac:dyDescent="0.25">
      <c r="A25" s="757" t="s">
        <v>33</v>
      </c>
      <c r="B25" s="757"/>
      <c r="C25" s="414">
        <v>11.93</v>
      </c>
      <c r="D25" s="414">
        <v>0</v>
      </c>
      <c r="E25" s="832">
        <f t="shared" si="0"/>
        <v>23.86</v>
      </c>
      <c r="F25" s="832"/>
      <c r="G25" s="833">
        <v>1.165</v>
      </c>
      <c r="H25" s="833"/>
      <c r="I25" s="577">
        <f t="shared" si="2"/>
        <v>27.796900000000001</v>
      </c>
      <c r="J25" s="578">
        <f t="shared" si="1"/>
        <v>154643.25</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622.7299999999999</v>
      </c>
      <c r="D28" s="126">
        <f>SUM(D12:D27)</f>
        <v>0</v>
      </c>
      <c r="E28" s="936">
        <f>SUM(E12:E27)</f>
        <v>1245.4599999999998</v>
      </c>
      <c r="F28" s="936"/>
      <c r="G28" s="838"/>
      <c r="H28" s="838"/>
      <c r="I28" s="23">
        <f>SUM(I12:I27)</f>
        <v>1313.8832</v>
      </c>
      <c r="J28" s="127">
        <f>SUM(J12:J27)</f>
        <v>7309562.2700000014</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1313.8832</v>
      </c>
      <c r="H33" s="838" t="s">
        <v>45</v>
      </c>
      <c r="I33" s="838"/>
      <c r="J33" s="32">
        <f>SUM(J32,J28)</f>
        <v>7309562.2700000014</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7309562.2700000014</v>
      </c>
      <c r="H36" s="223" t="s">
        <v>49</v>
      </c>
      <c r="I36" s="38">
        <v>6.6699999999999995E-2</v>
      </c>
      <c r="J36" s="131">
        <f>ROUND(G36*I36,2)</f>
        <v>487547.8</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7309562.2700000014</v>
      </c>
      <c r="H37" s="223" t="s">
        <v>49</v>
      </c>
      <c r="I37" s="38">
        <v>5.4000000000000003E-3</v>
      </c>
      <c r="J37" s="131">
        <f>ROUND(G37*I37,2)</f>
        <v>39471.64</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527019.43999999994</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73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27.5</v>
      </c>
      <c r="D41" s="414">
        <v>0</v>
      </c>
      <c r="E41" s="847">
        <f t="shared" ref="E41:E49" si="7">IF($D$50=0,C41*2,C41+D41)</f>
        <v>55</v>
      </c>
      <c r="F41" s="847"/>
      <c r="G41" s="223" t="s">
        <v>59</v>
      </c>
      <c r="H41" s="223">
        <v>251</v>
      </c>
      <c r="I41" s="136">
        <f>INDEX('[1]111-112-113 ADDITIONAL FUND'!D$1:D$65536,MATCH($A$1,'[1]111-112-113 ADDITIONAL FUND'!A$1:A$65536))</f>
        <v>1047</v>
      </c>
      <c r="J41" s="734">
        <f t="shared" ref="J41:J49" si="8">ROUND(E41*I41,2)</f>
        <v>57585</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5</v>
      </c>
      <c r="D42" s="414">
        <v>0</v>
      </c>
      <c r="E42" s="847">
        <f t="shared" si="7"/>
        <v>10</v>
      </c>
      <c r="F42" s="847"/>
      <c r="G42" s="223" t="s">
        <v>59</v>
      </c>
      <c r="H42" s="223">
        <v>252</v>
      </c>
      <c r="I42" s="136">
        <f>INDEX('[1]111-112-113 ADDITIONAL FUND'!E$1:E$65536,MATCH($A$1,'[1]111-112-113 ADDITIONAL FUND'!A$1:A$65536))</f>
        <v>3380</v>
      </c>
      <c r="J42" s="734">
        <f t="shared" si="8"/>
        <v>33800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36.5</v>
      </c>
      <c r="D44" s="414">
        <v>0</v>
      </c>
      <c r="E44" s="847">
        <f t="shared" si="7"/>
        <v>73</v>
      </c>
      <c r="F44" s="847"/>
      <c r="G44" s="47" t="s">
        <v>60</v>
      </c>
      <c r="H44" s="223">
        <v>251</v>
      </c>
      <c r="I44" s="136">
        <f>INDEX('[1]111-112-113 ADDITIONAL FUND'!G$1:G$65536,MATCH($A$1,'[1]111-112-113 ADDITIONAL FUND'!A$1:A$65536))</f>
        <v>1173</v>
      </c>
      <c r="J44" s="734">
        <f t="shared" si="8"/>
        <v>85629</v>
      </c>
      <c r="L44" s="3"/>
      <c r="M44" s="2"/>
      <c r="Q44" s="4"/>
      <c r="R44" s="906"/>
      <c r="S44" s="906"/>
      <c r="T44" s="888"/>
      <c r="U44" s="888"/>
      <c r="V44" s="182" t="s">
        <v>60</v>
      </c>
      <c r="W44" s="239">
        <v>251</v>
      </c>
      <c r="X44" s="134">
        <f t="shared" si="9"/>
        <v>1173</v>
      </c>
      <c r="Y44" s="269">
        <f t="shared" si="10"/>
        <v>0</v>
      </c>
    </row>
    <row r="45" spans="1:25" x14ac:dyDescent="0.25">
      <c r="A45" s="846"/>
      <c r="B45" s="846"/>
      <c r="C45" s="414">
        <v>6</v>
      </c>
      <c r="D45" s="414">
        <v>0</v>
      </c>
      <c r="E45" s="847">
        <f t="shared" si="7"/>
        <v>12</v>
      </c>
      <c r="F45" s="847"/>
      <c r="G45" s="47" t="s">
        <v>60</v>
      </c>
      <c r="H45" s="223">
        <v>252</v>
      </c>
      <c r="I45" s="136">
        <f>INDEX('[1]111-112-113 ADDITIONAL FUND'!H$1:H$65536,MATCH($A$1,'[1]111-112-113 ADDITIONAL FUND'!A$1:A$65536))</f>
        <v>3506</v>
      </c>
      <c r="J45" s="734">
        <f t="shared" si="8"/>
        <v>42072</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734">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734">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75</v>
      </c>
      <c r="D50" s="584">
        <f>SUM(D41:D49)</f>
        <v>0</v>
      </c>
      <c r="E50" s="853">
        <f>SUM(E41:E49)</f>
        <v>150</v>
      </c>
      <c r="F50" s="853"/>
      <c r="G50" s="839" t="s">
        <v>63</v>
      </c>
      <c r="H50" s="839"/>
      <c r="I50" s="839"/>
      <c r="J50" s="276">
        <f>SUM(J41:J49)</f>
        <v>219086</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1245.4599999999998</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5.7840000000000001E-3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1313.8832</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5.7359999999999998E-3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1245.4599999999998</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6.6899999999999998E-3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1245.4599999999998</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5.7920000000000003E-3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1245.4599999999998</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6.7010000000000004E-3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5.7920000000000003E-3</v>
      </c>
      <c r="J68" s="138">
        <f>ROUND(G68*I68,2)</f>
        <v>273908.01</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5.7840000000000001E-3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6.7010000000000004E-3</v>
      </c>
      <c r="J71" s="138">
        <f>ROUND(G71*I71,2)</f>
        <v>128443.97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6.6899999999999998E-3</v>
      </c>
      <c r="J72" s="138">
        <f>ROUND(G72*I72,2)</f>
        <v>77248.69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5.7359999999999998E-3</v>
      </c>
      <c r="J85" s="138">
        <f>ROUND(G85*I85,2)</f>
        <v>1541930.17</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5.7359999999999998E-3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5.7840000000000001E-3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636.02629999999999</v>
      </c>
      <c r="C90" s="245"/>
      <c r="D90" s="915">
        <f>I6</f>
        <v>1.0355000000000001</v>
      </c>
      <c r="E90" s="915"/>
      <c r="F90" s="915"/>
      <c r="G90" s="122">
        <f>'[1]Detail 2025-26 FEFP Second'!AB3</f>
        <v>958.42</v>
      </c>
      <c r="H90" s="47" t="s">
        <v>68</v>
      </c>
      <c r="I90" s="734">
        <f>ROUND(B90*D90*G90,2)</f>
        <v>631220.43000000005</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677.8569</v>
      </c>
      <c r="C91" s="245"/>
      <c r="D91" s="915">
        <f>I6</f>
        <v>1.0355000000000001</v>
      </c>
      <c r="E91" s="915"/>
      <c r="F91" s="915"/>
      <c r="G91" s="122">
        <f>'[1]Detail 2025-26 FEFP Second'!AC3</f>
        <v>915.09</v>
      </c>
      <c r="H91" s="47" t="s">
        <v>68</v>
      </c>
      <c r="I91" s="734">
        <f>ROUND(B91*D91*G91,2)</f>
        <v>642320.72</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73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1313.8832</v>
      </c>
      <c r="C93" s="109"/>
      <c r="D93" s="109"/>
      <c r="E93" s="867" t="s">
        <v>112</v>
      </c>
      <c r="F93" s="867"/>
      <c r="G93" s="867"/>
      <c r="H93" s="867"/>
      <c r="I93" s="867"/>
      <c r="J93" s="127">
        <f>IF(A1=75,0,I92+I91+I90)</f>
        <v>1273541.1499999999</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237</v>
      </c>
      <c r="D97" s="279">
        <v>244</v>
      </c>
      <c r="E97" s="942">
        <f>(C97+D97)/2</f>
        <v>240.5</v>
      </c>
      <c r="F97" s="871"/>
      <c r="G97" s="871"/>
      <c r="H97" s="224" t="s">
        <v>117</v>
      </c>
      <c r="I97" s="130">
        <f>IF(A1&gt;67,0,INDEX('[1]Transportation Per Student'!F$1:F$65536,MATCH(A1,'[1]Transportation Per Student'!B$1:B$65536)))</f>
        <v>617</v>
      </c>
      <c r="J97" s="138">
        <f>ROUND(I97*E97,2)</f>
        <v>148388.5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10972108.76</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10445089.32</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16"/>
      <c r="I114" s="717">
        <f>IF(I111=1,J111,J109)</f>
        <v>10445089.32</v>
      </c>
      <c r="J114" s="718">
        <f>ROUND(IF(E28=0,0,IF(E28&gt;250,-(((250/E28)*I114)*IF(H114="H",0.02,0.05)),IF(H114="H",-0.02*I114,-0.05*I114))),2)</f>
        <v>-104831.64</v>
      </c>
      <c r="M114" s="2"/>
      <c r="N114" s="3"/>
      <c r="R114" s="2"/>
      <c r="T114" s="4"/>
      <c r="W114" s="2"/>
      <c r="X114" s="5"/>
    </row>
    <row r="115" spans="1:26" s="285" customFormat="1" ht="16.5" customHeight="1" x14ac:dyDescent="0.25">
      <c r="A115" s="293"/>
      <c r="B115" s="293"/>
      <c r="C115" s="293"/>
      <c r="D115" s="293"/>
      <c r="E115" s="293"/>
      <c r="F115" s="293"/>
      <c r="G115" s="293"/>
      <c r="H115" s="719"/>
      <c r="I115" s="720"/>
      <c r="J115" s="721"/>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22"/>
      <c r="I116" s="723"/>
      <c r="J116" s="724">
        <f>J107+J114</f>
        <v>10867277.119999999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19"/>
      <c r="I117" s="720"/>
      <c r="J117" s="721"/>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19"/>
      <c r="I118" s="720"/>
      <c r="J118" s="725">
        <f>-'Cumulative Payments'!R103</f>
        <v>-1799572.64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19"/>
      <c r="I119" s="720"/>
      <c r="J119" s="721"/>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19"/>
      <c r="I120" s="720"/>
      <c r="J120" s="721">
        <f>J116+J118</f>
        <v>9067704.4799999986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19"/>
      <c r="I121" s="720"/>
      <c r="J121" s="721"/>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19"/>
      <c r="I122" s="720"/>
      <c r="J122" s="726">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19"/>
      <c r="I123" s="720"/>
      <c r="J123" s="721"/>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19"/>
      <c r="I124" s="720"/>
      <c r="J124" s="727">
        <f>ROUND(J120/J122,2)</f>
        <v>906770.45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19"/>
      <c r="I125" s="720"/>
      <c r="J125" s="721"/>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19"/>
      <c r="I126" s="720"/>
      <c r="J126" s="728">
        <f>ROUND(IF(H114="H",(I114*0.02)+J114,(I114*0.05)+J114),2)</f>
        <v>417422.83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AF59-BA16-49DC-B5B9-C114B4A765BC}">
  <dimension ref="A1:Z207"/>
  <sheetViews>
    <sheetView topLeftCell="A102" workbookViewId="0">
      <selection activeCell="H114" sqref="H11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469</v>
      </c>
      <c r="B2" s="102"/>
      <c r="C2" s="102"/>
      <c r="D2" s="102"/>
      <c r="E2" s="100"/>
      <c r="F2" s="100"/>
      <c r="G2" s="100"/>
      <c r="H2" s="100"/>
      <c r="I2" s="100"/>
      <c r="J2" s="100"/>
      <c r="K2" s="6"/>
      <c r="L2" s="6"/>
      <c r="M2" s="6"/>
      <c r="N2" s="6"/>
      <c r="O2" s="6"/>
      <c r="P2" s="6"/>
      <c r="Q2" s="6"/>
      <c r="R2" s="920" t="str">
        <f>Revenue_Estimate_Worksheet_for___________Charter_School</f>
        <v>Revenue Estimate Worksheet: Olympus International Academy - 4030</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Second'!$C$1:$C$65536,MATCH('4030'!$A$1,'[1]Detail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Second'!$D$1:$D$65536,MATCH('4030'!$A$1,'[1]Detail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43.42</v>
      </c>
      <c r="D12" s="410">
        <v>0</v>
      </c>
      <c r="E12" s="824">
        <f t="shared" ref="E12:E27" si="0">IF($D$28=0,C12*2,C12+D12)</f>
        <v>86.84</v>
      </c>
      <c r="F12" s="824"/>
      <c r="G12" s="825">
        <v>1.1080000000000001</v>
      </c>
      <c r="H12" s="825"/>
      <c r="I12" s="577">
        <f>ROUND(E12*G12,4)</f>
        <v>96.218699999999998</v>
      </c>
      <c r="J12" s="578">
        <f t="shared" ref="J12:J27" si="1">ROUND(ROUND(ROUND(I12*$E$6,4)*($I$6),2)*(MAX($I$7,1)),2)</f>
        <v>535296.12</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1.5</v>
      </c>
      <c r="D13" s="414">
        <v>0</v>
      </c>
      <c r="E13" s="832">
        <f t="shared" si="0"/>
        <v>3</v>
      </c>
      <c r="F13" s="832"/>
      <c r="G13" s="833">
        <v>1.1080000000000001</v>
      </c>
      <c r="H13" s="833"/>
      <c r="I13" s="577">
        <f t="shared" ref="I13:I27" si="2">ROUND(E13*G13,4)</f>
        <v>3.3239999999999998</v>
      </c>
      <c r="J13" s="578">
        <f t="shared" si="1"/>
        <v>18492.5</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33.869999999999997</v>
      </c>
      <c r="D14" s="414">
        <v>0</v>
      </c>
      <c r="E14" s="832">
        <f t="shared" si="0"/>
        <v>67.739999999999995</v>
      </c>
      <c r="F14" s="832"/>
      <c r="G14" s="833">
        <v>1</v>
      </c>
      <c r="H14" s="833"/>
      <c r="I14" s="577">
        <f t="shared" si="2"/>
        <v>67.739999999999995</v>
      </c>
      <c r="J14" s="578">
        <f>ROUND(ROUND(ROUND(I14*$E$6,4)*($I$6),2)*(MAX($I$7,1)),2)</f>
        <v>376859.79</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3</v>
      </c>
      <c r="D15" s="414">
        <v>0</v>
      </c>
      <c r="E15" s="832">
        <f t="shared" si="0"/>
        <v>6</v>
      </c>
      <c r="F15" s="832"/>
      <c r="G15" s="833">
        <v>1</v>
      </c>
      <c r="H15" s="833"/>
      <c r="I15" s="577">
        <f t="shared" si="2"/>
        <v>6</v>
      </c>
      <c r="J15" s="578">
        <f t="shared" si="1"/>
        <v>33379.96</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50.08</v>
      </c>
      <c r="D24" s="414">
        <v>0</v>
      </c>
      <c r="E24" s="832">
        <f t="shared" si="0"/>
        <v>100.16</v>
      </c>
      <c r="F24" s="832"/>
      <c r="G24" s="833">
        <v>1.165</v>
      </c>
      <c r="H24" s="833"/>
      <c r="I24" s="577">
        <f t="shared" si="2"/>
        <v>116.68640000000001</v>
      </c>
      <c r="J24" s="578">
        <f t="shared" si="1"/>
        <v>649164.63</v>
      </c>
      <c r="M24" s="2"/>
      <c r="R24" s="756" t="s">
        <v>32</v>
      </c>
      <c r="S24" s="756"/>
      <c r="T24" s="897">
        <f t="shared" si="3"/>
        <v>0</v>
      </c>
      <c r="U24" s="897"/>
      <c r="V24" s="896">
        <v>1</v>
      </c>
      <c r="W24" s="896"/>
      <c r="X24" s="156">
        <f t="shared" si="4"/>
        <v>0</v>
      </c>
      <c r="Y24" s="266">
        <f t="shared" si="6"/>
        <v>0</v>
      </c>
    </row>
    <row r="25" spans="1:25" x14ac:dyDescent="0.25">
      <c r="A25" s="757" t="s">
        <v>33</v>
      </c>
      <c r="B25" s="757"/>
      <c r="C25" s="414">
        <v>20.14</v>
      </c>
      <c r="D25" s="414">
        <v>0</v>
      </c>
      <c r="E25" s="832">
        <f t="shared" si="0"/>
        <v>40.28</v>
      </c>
      <c r="F25" s="832"/>
      <c r="G25" s="833">
        <v>1.165</v>
      </c>
      <c r="H25" s="833"/>
      <c r="I25" s="577">
        <f t="shared" si="2"/>
        <v>46.926200000000001</v>
      </c>
      <c r="J25" s="578">
        <f t="shared" si="1"/>
        <v>261065.81</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152.01</v>
      </c>
      <c r="D28" s="126">
        <f>SUM(D12:D27)</f>
        <v>0</v>
      </c>
      <c r="E28" s="837">
        <f>SUM(E12:E27)</f>
        <v>304.02</v>
      </c>
      <c r="F28" s="837"/>
      <c r="G28" s="838"/>
      <c r="H28" s="838"/>
      <c r="I28" s="23">
        <f>SUM(I12:I27)</f>
        <v>336.89529999999996</v>
      </c>
      <c r="J28" s="127">
        <f>SUM(J12:J27)</f>
        <v>1874258.81</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336.89529999999996</v>
      </c>
      <c r="H33" s="838" t="s">
        <v>45</v>
      </c>
      <c r="I33" s="838"/>
      <c r="J33" s="32">
        <f>SUM(J32,J28)</f>
        <v>1874258.81</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1874258.81</v>
      </c>
      <c r="H36" s="223" t="s">
        <v>49</v>
      </c>
      <c r="I36" s="38">
        <v>6.6699999999999995E-2</v>
      </c>
      <c r="J36" s="131">
        <f>ROUND(G36*I36,2)</f>
        <v>125013.06</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1874258.81</v>
      </c>
      <c r="H37" s="223" t="s">
        <v>49</v>
      </c>
      <c r="I37" s="38">
        <v>5.4000000000000003E-3</v>
      </c>
      <c r="J37" s="131">
        <f>ROUND(G37*I37,2)</f>
        <v>10121</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135134.06</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73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1.5</v>
      </c>
      <c r="D41" s="414">
        <v>0</v>
      </c>
      <c r="E41" s="847">
        <f t="shared" ref="E41:E49" si="7">IF($D$50=0,C41*2,C41+D41)</f>
        <v>3</v>
      </c>
      <c r="F41" s="847"/>
      <c r="G41" s="223" t="s">
        <v>59</v>
      </c>
      <c r="H41" s="223">
        <v>251</v>
      </c>
      <c r="I41" s="136">
        <f>INDEX('[1]111-112-113 ADDITIONAL FUND'!D$1:D$65536,MATCH($A$1,'[1]111-112-113 ADDITIONAL FUND'!A$1:A$65536))</f>
        <v>1047</v>
      </c>
      <c r="J41" s="734">
        <f t="shared" ref="J41:J49" si="8">ROUND(E41*I41,2)</f>
        <v>3141</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734">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3</v>
      </c>
      <c r="D44" s="414">
        <v>0</v>
      </c>
      <c r="E44" s="847">
        <f t="shared" si="7"/>
        <v>6</v>
      </c>
      <c r="F44" s="847"/>
      <c r="G44" s="47" t="s">
        <v>60</v>
      </c>
      <c r="H44" s="223">
        <v>251</v>
      </c>
      <c r="I44" s="136">
        <f>INDEX('[1]111-112-113 ADDITIONAL FUND'!G$1:G$65536,MATCH($A$1,'[1]111-112-113 ADDITIONAL FUND'!A$1:A$65536))</f>
        <v>1173</v>
      </c>
      <c r="J44" s="734">
        <f t="shared" si="8"/>
        <v>7038</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734">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734">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734">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4.5</v>
      </c>
      <c r="D50" s="584">
        <f>SUM(D41:D49)</f>
        <v>0</v>
      </c>
      <c r="E50" s="853">
        <f>SUM(E41:E49)</f>
        <v>9</v>
      </c>
      <c r="F50" s="853"/>
      <c r="G50" s="839" t="s">
        <v>63</v>
      </c>
      <c r="H50" s="839"/>
      <c r="I50" s="839"/>
      <c r="J50" s="276">
        <f>SUM(J41:J49)</f>
        <v>10179</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304.02</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1.4120000000000001E-3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336.89529999999996</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1.4710000000000001E-3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304.02</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1.6329999999999999E-3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304.02</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1.4139999999999999E-3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304.02</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1.6360000000000001E-3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1.4139999999999999E-3</v>
      </c>
      <c r="J68" s="138">
        <f>ROUND(G68*I68,2)</f>
        <v>66869.119999999995</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1.4120000000000001E-3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1.6360000000000001E-3</v>
      </c>
      <c r="J71" s="138">
        <f>ROUND(G71*I71,2)</f>
        <v>31358.65</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1.6329999999999999E-3</v>
      </c>
      <c r="J72" s="138">
        <f>ROUND(G72*I72,2)</f>
        <v>18856.07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1.4710000000000001E-3</v>
      </c>
      <c r="J85" s="138">
        <f>ROUND(G85*I85,2)</f>
        <v>395428.74</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1.4710000000000001E-3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1.4120000000000001E-3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216.22910000000002</v>
      </c>
      <c r="C90" s="245"/>
      <c r="D90" s="915">
        <f>I6</f>
        <v>1.0355000000000001</v>
      </c>
      <c r="E90" s="915"/>
      <c r="F90" s="915"/>
      <c r="G90" s="122">
        <f>'[1]Detail 2025-26 FEFP Second'!AB3</f>
        <v>958.42</v>
      </c>
      <c r="H90" s="47" t="s">
        <v>68</v>
      </c>
      <c r="I90" s="734">
        <f>ROUND(B90*D90*G90,2)</f>
        <v>214595.25</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120.6662</v>
      </c>
      <c r="C91" s="245"/>
      <c r="D91" s="915">
        <f>I6</f>
        <v>1.0355000000000001</v>
      </c>
      <c r="E91" s="915"/>
      <c r="F91" s="915"/>
      <c r="G91" s="122">
        <f>'[1]Detail 2025-26 FEFP Second'!AC3</f>
        <v>915.09</v>
      </c>
      <c r="H91" s="47" t="s">
        <v>68</v>
      </c>
      <c r="I91" s="734">
        <f>ROUND(B91*D91*G91,2)</f>
        <v>114340.36</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73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336.89530000000002</v>
      </c>
      <c r="C93" s="109"/>
      <c r="D93" s="109"/>
      <c r="E93" s="867" t="s">
        <v>112</v>
      </c>
      <c r="F93" s="867"/>
      <c r="G93" s="867"/>
      <c r="H93" s="867"/>
      <c r="I93" s="867"/>
      <c r="J93" s="127">
        <f>IF(A1=75,0,I92+I91+I90)</f>
        <v>328935.61</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0</v>
      </c>
      <c r="D97" s="279">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2725886</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2590751.94</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2590751.94</v>
      </c>
      <c r="J114" s="296">
        <f>ROUND(IF(E28=0,0,IF(E28&gt;250,-(((250/E28)*I114)*IF(H114="H",0.02,0.05)),IF(H114="H",-0.02*I114,-0.05*I114))),2)</f>
        <v>-106520.62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2619365.38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Payments'!R104</f>
        <v>-435286.87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2184078.5099999998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218407.85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23016.98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76A2-B6D3-4694-A23F-19B06DAE026B}">
  <dimension ref="A1:Z207"/>
  <sheetViews>
    <sheetView topLeftCell="A100" workbookViewId="0">
      <selection activeCell="H114" sqref="H11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470</v>
      </c>
      <c r="B2" s="102"/>
      <c r="C2" s="102"/>
      <c r="D2" s="102"/>
      <c r="E2" s="100"/>
      <c r="F2" s="100"/>
      <c r="G2" s="100"/>
      <c r="H2" s="100"/>
      <c r="I2" s="100"/>
      <c r="J2" s="100"/>
      <c r="K2" s="6"/>
      <c r="L2" s="6"/>
      <c r="M2" s="6"/>
      <c r="N2" s="6"/>
      <c r="O2" s="6"/>
      <c r="P2" s="6"/>
      <c r="Q2" s="6"/>
      <c r="R2" s="920" t="str">
        <f>Revenue_Estimate_Worksheet_for___________Charter_School</f>
        <v>Revenue Estimate Worksheet: Somerset Academy Wellington - 4031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Second'!$C$1:$C$65536,MATCH('4031'!$A$1,'[1]Detail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64.150000000000006</v>
      </c>
      <c r="D12" s="410">
        <v>0</v>
      </c>
      <c r="E12" s="824">
        <f t="shared" ref="E12:E27" si="0">IF($D$28=0,C12*2,C12+D12)</f>
        <v>128.30000000000001</v>
      </c>
      <c r="F12" s="824"/>
      <c r="G12" s="825">
        <v>1.1080000000000001</v>
      </c>
      <c r="H12" s="825"/>
      <c r="I12" s="577">
        <f>ROUND(E12*G12,4)</f>
        <v>142.15639999999999</v>
      </c>
      <c r="J12" s="578">
        <f t="shared" ref="J12:J27" si="1">ROUND(ROUND(ROUND(I12*$E$6,4)*($I$6),2)*(MAX($I$7,1)),2)</f>
        <v>790862.58</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5</v>
      </c>
      <c r="D13" s="414">
        <v>0</v>
      </c>
      <c r="E13" s="832">
        <f t="shared" si="0"/>
        <v>10</v>
      </c>
      <c r="F13" s="832"/>
      <c r="G13" s="833">
        <v>1.1080000000000001</v>
      </c>
      <c r="H13" s="833"/>
      <c r="I13" s="577">
        <f t="shared" ref="I13:I27" si="2">ROUND(E13*G13,4)</f>
        <v>11.08</v>
      </c>
      <c r="J13" s="578">
        <f t="shared" si="1"/>
        <v>61641.67</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94.83</v>
      </c>
      <c r="D14" s="414">
        <v>0</v>
      </c>
      <c r="E14" s="832">
        <f t="shared" si="0"/>
        <v>189.66</v>
      </c>
      <c r="F14" s="832"/>
      <c r="G14" s="833">
        <v>1</v>
      </c>
      <c r="H14" s="833"/>
      <c r="I14" s="577">
        <f t="shared" si="2"/>
        <v>189.66</v>
      </c>
      <c r="J14" s="578">
        <f>ROUND(ROUND(ROUND(I14*$E$6,4)*($I$6),2)*(MAX($I$7,1)),2)</f>
        <v>1055140.6599999999</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18.739999999999998</v>
      </c>
      <c r="D15" s="414">
        <v>0</v>
      </c>
      <c r="E15" s="832">
        <f t="shared" si="0"/>
        <v>37.479999999999997</v>
      </c>
      <c r="F15" s="832"/>
      <c r="G15" s="833">
        <v>1</v>
      </c>
      <c r="H15" s="833"/>
      <c r="I15" s="577">
        <f t="shared" si="2"/>
        <v>37.479999999999997</v>
      </c>
      <c r="J15" s="578">
        <f t="shared" si="1"/>
        <v>208513.51</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26.88</v>
      </c>
      <c r="D24" s="414">
        <v>0</v>
      </c>
      <c r="E24" s="832">
        <f t="shared" si="0"/>
        <v>53.76</v>
      </c>
      <c r="F24" s="832"/>
      <c r="G24" s="833">
        <v>1.165</v>
      </c>
      <c r="H24" s="833"/>
      <c r="I24" s="577">
        <f t="shared" si="2"/>
        <v>62.630400000000002</v>
      </c>
      <c r="J24" s="578">
        <f t="shared" si="1"/>
        <v>348433.41</v>
      </c>
      <c r="M24" s="2"/>
      <c r="R24" s="756" t="s">
        <v>32</v>
      </c>
      <c r="S24" s="756"/>
      <c r="T24" s="897">
        <f t="shared" si="3"/>
        <v>0</v>
      </c>
      <c r="U24" s="897"/>
      <c r="V24" s="896">
        <v>1</v>
      </c>
      <c r="W24" s="896"/>
      <c r="X24" s="156">
        <f t="shared" si="4"/>
        <v>0</v>
      </c>
      <c r="Y24" s="266">
        <f t="shared" si="6"/>
        <v>0</v>
      </c>
    </row>
    <row r="25" spans="1:25" x14ac:dyDescent="0.25">
      <c r="A25" s="757" t="s">
        <v>33</v>
      </c>
      <c r="B25" s="757"/>
      <c r="C25" s="414">
        <v>19.47</v>
      </c>
      <c r="D25" s="414">
        <v>0</v>
      </c>
      <c r="E25" s="832">
        <f t="shared" si="0"/>
        <v>38.94</v>
      </c>
      <c r="F25" s="832"/>
      <c r="G25" s="833">
        <v>1.165</v>
      </c>
      <c r="H25" s="833"/>
      <c r="I25" s="577">
        <f t="shared" si="2"/>
        <v>45.365099999999998</v>
      </c>
      <c r="J25" s="578">
        <f t="shared" si="1"/>
        <v>252380.9</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229.07000000000002</v>
      </c>
      <c r="D28" s="126">
        <f>SUM(D12:D27)</f>
        <v>0</v>
      </c>
      <c r="E28" s="837">
        <f>SUM(E12:E27)</f>
        <v>458.14000000000004</v>
      </c>
      <c r="F28" s="837"/>
      <c r="G28" s="838"/>
      <c r="H28" s="838"/>
      <c r="I28" s="23">
        <f>SUM(I12:I27)</f>
        <v>488.37189999999998</v>
      </c>
      <c r="J28" s="127">
        <f>SUM(J12:J27)</f>
        <v>2716972.73</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488.37189999999998</v>
      </c>
      <c r="H33" s="838" t="s">
        <v>45</v>
      </c>
      <c r="I33" s="838"/>
      <c r="J33" s="32">
        <f>SUM(J32,J28)</f>
        <v>2716972.73</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2716972.73</v>
      </c>
      <c r="H36" s="223" t="s">
        <v>49</v>
      </c>
      <c r="I36" s="38">
        <v>6.6699999999999995E-2</v>
      </c>
      <c r="J36" s="131">
        <f>ROUND(G36*I36,2)</f>
        <v>181222.08</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2716972.73</v>
      </c>
      <c r="H37" s="223" t="s">
        <v>49</v>
      </c>
      <c r="I37" s="38">
        <v>5.4000000000000003E-3</v>
      </c>
      <c r="J37" s="131">
        <f>ROUND(G37*I37,2)</f>
        <v>14671.65</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195893.72999999998</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3</v>
      </c>
      <c r="D41" s="414">
        <v>0</v>
      </c>
      <c r="E41" s="847">
        <f t="shared" ref="E41:E49" si="7">IF($D$50=0,C41*2,C41+D41)</f>
        <v>6</v>
      </c>
      <c r="F41" s="847"/>
      <c r="G41" s="223" t="s">
        <v>59</v>
      </c>
      <c r="H41" s="223">
        <v>251</v>
      </c>
      <c r="I41" s="136">
        <f>INDEX('[1]111-112-113 ADDITIONAL FUND'!D$1:D$65536,MATCH($A$1,'[1]111-112-113 ADDITIONAL FUND'!A$1:A$65536))</f>
        <v>1047</v>
      </c>
      <c r="J41" s="46">
        <f t="shared" ref="J41:J49" si="8">ROUND(E41*I41,2)</f>
        <v>6282</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2</v>
      </c>
      <c r="D42" s="414">
        <v>0</v>
      </c>
      <c r="E42" s="847">
        <f t="shared" si="7"/>
        <v>4</v>
      </c>
      <c r="F42" s="847"/>
      <c r="G42" s="223" t="s">
        <v>59</v>
      </c>
      <c r="H42" s="223">
        <v>252</v>
      </c>
      <c r="I42" s="136">
        <f>INDEX('[1]111-112-113 ADDITIONAL FUND'!E$1:E$65536,MATCH($A$1,'[1]111-112-113 ADDITIONAL FUND'!A$1:A$65536))</f>
        <v>3380</v>
      </c>
      <c r="J42" s="46">
        <f t="shared" si="8"/>
        <v>13520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15.23</v>
      </c>
      <c r="D44" s="414">
        <v>0</v>
      </c>
      <c r="E44" s="847">
        <f t="shared" si="7"/>
        <v>30.46</v>
      </c>
      <c r="F44" s="847"/>
      <c r="G44" s="47" t="s">
        <v>60</v>
      </c>
      <c r="H44" s="223">
        <v>251</v>
      </c>
      <c r="I44" s="136">
        <f>INDEX('[1]111-112-113 ADDITIONAL FUND'!G$1:G$65536,MATCH($A$1,'[1]111-112-113 ADDITIONAL FUND'!A$1:A$65536))</f>
        <v>1173</v>
      </c>
      <c r="J44" s="137">
        <f t="shared" si="8"/>
        <v>35729.58</v>
      </c>
      <c r="L44" s="3"/>
      <c r="M44" s="2"/>
      <c r="Q44" s="4"/>
      <c r="R44" s="906"/>
      <c r="S44" s="906"/>
      <c r="T44" s="888"/>
      <c r="U44" s="888"/>
      <c r="V44" s="182" t="s">
        <v>60</v>
      </c>
      <c r="W44" s="239">
        <v>251</v>
      </c>
      <c r="X44" s="134">
        <f t="shared" si="9"/>
        <v>1173</v>
      </c>
      <c r="Y44" s="269">
        <f t="shared" si="10"/>
        <v>0</v>
      </c>
    </row>
    <row r="45" spans="1:25" x14ac:dyDescent="0.25">
      <c r="A45" s="846"/>
      <c r="B45" s="846"/>
      <c r="C45" s="414">
        <v>3.51</v>
      </c>
      <c r="D45" s="414">
        <v>0</v>
      </c>
      <c r="E45" s="847">
        <f t="shared" si="7"/>
        <v>7.02</v>
      </c>
      <c r="F45" s="847"/>
      <c r="G45" s="47" t="s">
        <v>60</v>
      </c>
      <c r="H45" s="223">
        <v>252</v>
      </c>
      <c r="I45" s="136">
        <f>INDEX('[1]111-112-113 ADDITIONAL FUND'!H$1:H$65536,MATCH($A$1,'[1]111-112-113 ADDITIONAL FUND'!A$1:A$65536))</f>
        <v>3506</v>
      </c>
      <c r="J45" s="46">
        <f t="shared" si="8"/>
        <v>24612.12</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23.740000000000002</v>
      </c>
      <c r="D50" s="584">
        <f>SUM(D41:D49)</f>
        <v>0</v>
      </c>
      <c r="E50" s="853">
        <f>SUM(E41:E49)</f>
        <v>47.480000000000004</v>
      </c>
      <c r="F50" s="853"/>
      <c r="G50" s="839" t="s">
        <v>63</v>
      </c>
      <c r="H50" s="839"/>
      <c r="I50" s="839"/>
      <c r="J50" s="276">
        <f>SUM(J41:J49)</f>
        <v>80143.7</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458.14000000000004</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2.1280000000000001E-3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488.37189999999998</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2.1320000000000002E-3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458.14000000000004</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2.4610000000000001E-3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458.14000000000004</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2.1310000000000001E-3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458.14000000000004</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2.4650000000000002E-3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2.1310000000000001E-3</v>
      </c>
      <c r="J68" s="138">
        <f>ROUND(G68*I68,2)</f>
        <v>100776.58</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740">
        <f>INDEX('[1]Detail 2025-26 FEFP Second'!L$1:L$65536,MATCH(A1,'[1]Detail 2025-26 FEFP Second'!A$1:A$65536))</f>
        <v>0</v>
      </c>
      <c r="H70" s="223" t="s">
        <v>81</v>
      </c>
      <c r="I70" s="41">
        <f>I54</f>
        <v>2.1280000000000001E-3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2.4650000000000002E-3</v>
      </c>
      <c r="J71" s="138">
        <f>ROUND(G71*I71,2)</f>
        <v>47248.83</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2.4610000000000001E-3</v>
      </c>
      <c r="J72" s="138">
        <f>ROUND(G72*I72,2)</f>
        <v>28416.89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2.1320000000000002E-3</v>
      </c>
      <c r="J85" s="138">
        <f>ROUND(G85*I85,2)</f>
        <v>573116.30000000005</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2.1320000000000002E-3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2.1280000000000001E-3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215.86680000000001</v>
      </c>
      <c r="C90" s="245"/>
      <c r="D90" s="915">
        <f>I6</f>
        <v>1.0355000000000001</v>
      </c>
      <c r="E90" s="915"/>
      <c r="F90" s="915"/>
      <c r="G90" s="122">
        <f>'[1]Detail 2025-26 FEFP Second'!AB3</f>
        <v>958.42</v>
      </c>
      <c r="H90" s="47" t="s">
        <v>68</v>
      </c>
      <c r="I90" s="734">
        <f>ROUND(B90*D90*G90,2)</f>
        <v>214235.69</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272.50509999999997</v>
      </c>
      <c r="C91" s="245"/>
      <c r="D91" s="915">
        <f>I6</f>
        <v>1.0355000000000001</v>
      </c>
      <c r="E91" s="915"/>
      <c r="F91" s="915"/>
      <c r="G91" s="122">
        <f>'[1]Detail 2025-26 FEFP Second'!AC3</f>
        <v>915.09</v>
      </c>
      <c r="H91" s="47" t="s">
        <v>68</v>
      </c>
      <c r="I91" s="734">
        <f>ROUND(B91*D91*G91,2)</f>
        <v>258219.21</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73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488.37189999999998</v>
      </c>
      <c r="C93" s="109"/>
      <c r="D93" s="109"/>
      <c r="E93" s="867" t="s">
        <v>112</v>
      </c>
      <c r="F93" s="867"/>
      <c r="G93" s="867"/>
      <c r="H93" s="867"/>
      <c r="I93" s="867"/>
      <c r="J93" s="127">
        <f>IF(A1=75,0,I92+I91+I90)</f>
        <v>472454.9</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0</v>
      </c>
      <c r="D97" s="279">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4019129.93</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3823236.2</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3823236.2</v>
      </c>
      <c r="J114" s="296">
        <f>ROUND(IF(E28=0,0,IF(E28&gt;250,-(((250/E28)*I114)*IF(H114="H",0.02,0.05)),IF(H114="H",-0.02*I114,-0.05*I114))),2)</f>
        <v>-104314.08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3914815.85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Payments'!R105</f>
        <v>-649059.02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3265756.83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326575.68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86847.73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A7AB-50C5-47DF-9481-84B2A08425BA}">
  <dimension ref="A1:Z207"/>
  <sheetViews>
    <sheetView topLeftCell="A105" workbookViewId="0">
      <selection activeCell="J127" sqref="J127"/>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471</v>
      </c>
      <c r="B2" s="102"/>
      <c r="C2" s="102"/>
      <c r="D2" s="102"/>
      <c r="E2" s="100"/>
      <c r="F2" s="100"/>
      <c r="G2" s="100"/>
      <c r="H2" s="100"/>
      <c r="I2" s="100"/>
      <c r="J2" s="100"/>
      <c r="K2" s="6"/>
      <c r="L2" s="6"/>
      <c r="M2" s="6"/>
      <c r="N2" s="6"/>
      <c r="O2" s="6"/>
      <c r="P2" s="6"/>
      <c r="Q2" s="6"/>
      <c r="R2" s="920" t="str">
        <f>Revenue_Estimate_Worksheet_for___________Charter_School</f>
        <v>Revenue Estimate Worksheet: Somerset Academy Boca Middle School - 4041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Second'!$C$1:$C$65536,MATCH('4041'!$A$1,'[1]Detail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37</v>
      </c>
      <c r="D14" s="414">
        <v>0</v>
      </c>
      <c r="E14" s="832">
        <f t="shared" si="0"/>
        <v>74</v>
      </c>
      <c r="F14" s="832"/>
      <c r="G14" s="833">
        <v>1</v>
      </c>
      <c r="H14" s="833"/>
      <c r="I14" s="577">
        <f t="shared" si="2"/>
        <v>74</v>
      </c>
      <c r="J14" s="578">
        <f>ROUND(ROUND(ROUND(I14*$E$6,4)*($I$6),2)*(MAX($I$7,1)),2)</f>
        <v>411686.22</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9.35</v>
      </c>
      <c r="D15" s="414">
        <v>0</v>
      </c>
      <c r="E15" s="832">
        <f t="shared" si="0"/>
        <v>18.7</v>
      </c>
      <c r="F15" s="832"/>
      <c r="G15" s="833">
        <v>1</v>
      </c>
      <c r="H15" s="833"/>
      <c r="I15" s="577">
        <f t="shared" si="2"/>
        <v>18.7</v>
      </c>
      <c r="J15" s="578">
        <f t="shared" si="1"/>
        <v>104034.22</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1</v>
      </c>
      <c r="D25" s="414">
        <v>0</v>
      </c>
      <c r="E25" s="832">
        <f t="shared" si="0"/>
        <v>2</v>
      </c>
      <c r="F25" s="832"/>
      <c r="G25" s="833">
        <v>1.165</v>
      </c>
      <c r="H25" s="833"/>
      <c r="I25" s="577">
        <f t="shared" si="2"/>
        <v>2.33</v>
      </c>
      <c r="J25" s="578">
        <f t="shared" si="1"/>
        <v>12962.55</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47.35</v>
      </c>
      <c r="D28" s="126">
        <f>SUM(D12:D27)</f>
        <v>0</v>
      </c>
      <c r="E28" s="837">
        <f>SUM(E12:E27)</f>
        <v>94.7</v>
      </c>
      <c r="F28" s="837"/>
      <c r="G28" s="838"/>
      <c r="H28" s="838"/>
      <c r="I28" s="23">
        <f>SUM(I12:I27)</f>
        <v>95.03</v>
      </c>
      <c r="J28" s="127">
        <f>SUM(J12:J27)</f>
        <v>528682.99</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95.03</v>
      </c>
      <c r="H33" s="838" t="s">
        <v>45</v>
      </c>
      <c r="I33" s="838"/>
      <c r="J33" s="32">
        <f>SUM(J32,J28)</f>
        <v>528682.99</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528682.99</v>
      </c>
      <c r="H36" s="223" t="s">
        <v>49</v>
      </c>
      <c r="I36" s="38">
        <v>6.6699999999999995E-2</v>
      </c>
      <c r="J36" s="131">
        <f>ROUND(G36*I36,2)</f>
        <v>35263.160000000003</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528682.99</v>
      </c>
      <c r="H37" s="223" t="s">
        <v>49</v>
      </c>
      <c r="I37" s="38">
        <v>5.4000000000000003E-3</v>
      </c>
      <c r="J37" s="131">
        <f>ROUND(G37*I37,2)</f>
        <v>2854.89</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38118.050000000003</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73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734">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734">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8.85</v>
      </c>
      <c r="D44" s="414">
        <v>0</v>
      </c>
      <c r="E44" s="847">
        <f t="shared" si="7"/>
        <v>17.7</v>
      </c>
      <c r="F44" s="847"/>
      <c r="G44" s="47" t="s">
        <v>60</v>
      </c>
      <c r="H44" s="223">
        <v>251</v>
      </c>
      <c r="I44" s="136">
        <f>INDEX('[1]111-112-113 ADDITIONAL FUND'!G$1:G$65536,MATCH($A$1,'[1]111-112-113 ADDITIONAL FUND'!A$1:A$65536))</f>
        <v>1173</v>
      </c>
      <c r="J44" s="734">
        <f t="shared" si="8"/>
        <v>20762.099999999999</v>
      </c>
      <c r="L44" s="3"/>
      <c r="M44" s="2"/>
      <c r="Q44" s="4"/>
      <c r="R44" s="906"/>
      <c r="S44" s="906"/>
      <c r="T44" s="888"/>
      <c r="U44" s="888"/>
      <c r="V44" s="182" t="s">
        <v>60</v>
      </c>
      <c r="W44" s="239">
        <v>251</v>
      </c>
      <c r="X44" s="134">
        <f t="shared" si="9"/>
        <v>1173</v>
      </c>
      <c r="Y44" s="269">
        <f t="shared" si="10"/>
        <v>0</v>
      </c>
    </row>
    <row r="45" spans="1:25" x14ac:dyDescent="0.25">
      <c r="A45" s="846"/>
      <c r="B45" s="846"/>
      <c r="C45" s="414">
        <v>0.5</v>
      </c>
      <c r="D45" s="414">
        <v>0</v>
      </c>
      <c r="E45" s="847">
        <f t="shared" si="7"/>
        <v>1</v>
      </c>
      <c r="F45" s="847"/>
      <c r="G45" s="47" t="s">
        <v>60</v>
      </c>
      <c r="H45" s="223">
        <v>252</v>
      </c>
      <c r="I45" s="136">
        <f>INDEX('[1]111-112-113 ADDITIONAL FUND'!H$1:H$65536,MATCH($A$1,'[1]111-112-113 ADDITIONAL FUND'!A$1:A$65536))</f>
        <v>3506</v>
      </c>
      <c r="J45" s="734">
        <f t="shared" si="8"/>
        <v>3506</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734">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734">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9.35</v>
      </c>
      <c r="D50" s="584">
        <f>SUM(D41:D49)</f>
        <v>0</v>
      </c>
      <c r="E50" s="853">
        <f>SUM(E41:E49)</f>
        <v>18.7</v>
      </c>
      <c r="F50" s="853"/>
      <c r="G50" s="839" t="s">
        <v>63</v>
      </c>
      <c r="H50" s="839"/>
      <c r="I50" s="839"/>
      <c r="J50" s="276">
        <f>SUM(J41:J49)</f>
        <v>24268.1</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94.7</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4.4000000000000002E-4</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95.03</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4.15E-4</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94.7</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5.0900000000000001E-4</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94.7</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4.4000000000000002E-4</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94.7</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5.1000000000000004E-4</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4.4000000000000002E-4</v>
      </c>
      <c r="J68" s="138">
        <f>ROUND(G68*I68,2)</f>
        <v>20807.93</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4.4000000000000002E-4</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5.1000000000000004E-4</v>
      </c>
      <c r="J71" s="138">
        <f>ROUND(G71*I71,2)</f>
        <v>9775.6200000000008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5.0900000000000001E-4</v>
      </c>
      <c r="J72" s="138">
        <f>ROUND(G72*I72,2)</f>
        <v>5877.37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4.15E-4</v>
      </c>
      <c r="J85" s="138">
        <f>ROUND(G85*I85,2)</f>
        <v>111558.76</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4.15E-4</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4.4000000000000002E-4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141">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95.03</v>
      </c>
      <c r="C91" s="245"/>
      <c r="D91" s="915">
        <f>I6</f>
        <v>1.0355000000000001</v>
      </c>
      <c r="E91" s="915"/>
      <c r="F91" s="915"/>
      <c r="G91" s="122">
        <f>'[1]Detail 2025-26 FEFP Second'!AC3</f>
        <v>915.09</v>
      </c>
      <c r="H91" s="47" t="s">
        <v>68</v>
      </c>
      <c r="I91" s="140">
        <f>ROUND(B91*D91*G91,2)</f>
        <v>90048.12</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95.03</v>
      </c>
      <c r="C93" s="109"/>
      <c r="D93" s="109"/>
      <c r="E93" s="867" t="s">
        <v>112</v>
      </c>
      <c r="F93" s="867"/>
      <c r="G93" s="867"/>
      <c r="H93" s="867"/>
      <c r="I93" s="867"/>
      <c r="J93" s="127">
        <f>IF(A1=75,0,I92+I91+I90)</f>
        <v>90048.12</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0</v>
      </c>
      <c r="D97" s="279">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791018.8899999999</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752900.83999999985</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t="s">
        <v>436</v>
      </c>
      <c r="I114" s="295">
        <f>IF(I111=1,J111,J109)</f>
        <v>752900.83999999985</v>
      </c>
      <c r="J114" s="296">
        <f>ROUND(IF(E28=0,0,IF(E28&gt;250,-(((250/E28)*I114)*IF(H114="H",0.02,0.05)),IF(H114="H",-0.02*I114,-0.05*I114))),2)</f>
        <v>-15058.02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775960.86999999988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Payments'!R106</f>
        <v>-128258.95999999999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647701.90999999992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64770.19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9516-EA59-4DC6-8F8F-683329FA5200}">
  <dimension ref="A1:Z207"/>
  <sheetViews>
    <sheetView topLeftCell="A102" workbookViewId="0">
      <selection activeCell="H114" sqref="H11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472</v>
      </c>
      <c r="B2" s="102"/>
      <c r="C2" s="102"/>
      <c r="D2" s="102"/>
      <c r="E2" s="100"/>
      <c r="F2" s="100"/>
      <c r="G2" s="100"/>
      <c r="H2" s="100"/>
      <c r="I2" s="100"/>
      <c r="J2" s="100"/>
      <c r="K2" s="6"/>
      <c r="L2" s="6"/>
      <c r="M2" s="6"/>
      <c r="N2" s="6"/>
      <c r="O2" s="6"/>
      <c r="P2" s="6"/>
      <c r="Q2" s="6"/>
      <c r="R2" s="920" t="str">
        <f>Revenue_Estimate_Worksheet_for___________Charter_School</f>
        <v>Revenue Estimate Worksheet: Renaissance Charter School at Cypress - 4050</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Second'!$C$1:$C$65536,MATCH('4050'!$A$1,'[1]Detail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Second'!$D$1:$D$65536,MATCH('4050'!$A$1,'[1]Detail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136.62</v>
      </c>
      <c r="D12" s="410">
        <v>0</v>
      </c>
      <c r="E12" s="824">
        <f t="shared" ref="E12:E27" si="0">IF($D$28=0,C12*2,C12+D12)</f>
        <v>273.24</v>
      </c>
      <c r="F12" s="824"/>
      <c r="G12" s="825">
        <v>1.1080000000000001</v>
      </c>
      <c r="H12" s="825"/>
      <c r="I12" s="577">
        <f>ROUND(E12*G12,4)</f>
        <v>302.74990000000003</v>
      </c>
      <c r="J12" s="578">
        <f t="shared" ref="J12:J27" si="1">ROUND(ROUND(ROUND(I12*$E$6,4)*($I$6),2)*(MAX($I$7,1)),2)</f>
        <v>1684296.78</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10.5</v>
      </c>
      <c r="D13" s="414">
        <v>0</v>
      </c>
      <c r="E13" s="832">
        <f t="shared" si="0"/>
        <v>21</v>
      </c>
      <c r="F13" s="832"/>
      <c r="G13" s="833">
        <v>1.1080000000000001</v>
      </c>
      <c r="H13" s="833"/>
      <c r="I13" s="577">
        <f t="shared" ref="I13:I27" si="2">ROUND(E13*G13,4)</f>
        <v>23.268000000000001</v>
      </c>
      <c r="J13" s="578">
        <f t="shared" si="1"/>
        <v>129447.5</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155.16</v>
      </c>
      <c r="D14" s="414">
        <v>0</v>
      </c>
      <c r="E14" s="832">
        <f t="shared" si="0"/>
        <v>310.32</v>
      </c>
      <c r="F14" s="832"/>
      <c r="G14" s="833">
        <v>1</v>
      </c>
      <c r="H14" s="833"/>
      <c r="I14" s="577">
        <f t="shared" si="2"/>
        <v>310.32</v>
      </c>
      <c r="J14" s="578">
        <f>ROUND(ROUND(ROUND(I14*$E$6,4)*($I$6),2)*(MAX($I$7,1)),2)</f>
        <v>1726411.73</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21</v>
      </c>
      <c r="D15" s="414">
        <v>0</v>
      </c>
      <c r="E15" s="832">
        <f t="shared" si="0"/>
        <v>42</v>
      </c>
      <c r="F15" s="832"/>
      <c r="G15" s="833">
        <v>1</v>
      </c>
      <c r="H15" s="833"/>
      <c r="I15" s="577">
        <f t="shared" si="2"/>
        <v>42</v>
      </c>
      <c r="J15" s="578">
        <f t="shared" si="1"/>
        <v>233659.75</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20.630000000000003</v>
      </c>
      <c r="D24" s="414">
        <v>0</v>
      </c>
      <c r="E24" s="832">
        <f t="shared" si="0"/>
        <v>41.260000000000005</v>
      </c>
      <c r="F24" s="832"/>
      <c r="G24" s="833">
        <v>1.165</v>
      </c>
      <c r="H24" s="833"/>
      <c r="I24" s="577">
        <f t="shared" si="2"/>
        <v>48.067900000000002</v>
      </c>
      <c r="J24" s="578">
        <f t="shared" si="1"/>
        <v>267417.46000000002</v>
      </c>
      <c r="M24" s="2"/>
      <c r="R24" s="756" t="s">
        <v>32</v>
      </c>
      <c r="S24" s="756"/>
      <c r="T24" s="897">
        <f t="shared" si="3"/>
        <v>0</v>
      </c>
      <c r="U24" s="897"/>
      <c r="V24" s="896">
        <v>1</v>
      </c>
      <c r="W24" s="896"/>
      <c r="X24" s="156">
        <f t="shared" si="4"/>
        <v>0</v>
      </c>
      <c r="Y24" s="266">
        <f t="shared" si="6"/>
        <v>0</v>
      </c>
    </row>
    <row r="25" spans="1:25" x14ac:dyDescent="0.25">
      <c r="A25" s="757" t="s">
        <v>33</v>
      </c>
      <c r="B25" s="757"/>
      <c r="C25" s="414">
        <v>19.78</v>
      </c>
      <c r="D25" s="414">
        <v>0</v>
      </c>
      <c r="E25" s="832">
        <f t="shared" si="0"/>
        <v>39.56</v>
      </c>
      <c r="F25" s="832"/>
      <c r="G25" s="833">
        <v>1.165</v>
      </c>
      <c r="H25" s="833"/>
      <c r="I25" s="577">
        <f t="shared" si="2"/>
        <v>46.087400000000002</v>
      </c>
      <c r="J25" s="578">
        <f t="shared" si="1"/>
        <v>256399.29</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363.68999999999994</v>
      </c>
      <c r="D28" s="126">
        <f>SUM(D12:D27)</f>
        <v>0</v>
      </c>
      <c r="E28" s="837">
        <f>SUM(E12:E27)</f>
        <v>727.37999999999988</v>
      </c>
      <c r="F28" s="837"/>
      <c r="G28" s="838"/>
      <c r="H28" s="838"/>
      <c r="I28" s="23">
        <f>SUM(I12:I27)</f>
        <v>772.4932</v>
      </c>
      <c r="J28" s="127">
        <f>SUM(J12:J27)</f>
        <v>4297632.51</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772.4932</v>
      </c>
      <c r="H33" s="838" t="s">
        <v>45</v>
      </c>
      <c r="I33" s="838"/>
      <c r="J33" s="32">
        <f>SUM(J32,J28)</f>
        <v>4297632.51</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4297632.51</v>
      </c>
      <c r="H36" s="223" t="s">
        <v>49</v>
      </c>
      <c r="I36" s="38">
        <v>6.6699999999999995E-2</v>
      </c>
      <c r="J36" s="131">
        <f>ROUND(G36*I36,2)</f>
        <v>286652.09000000003</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4297632.51</v>
      </c>
      <c r="H37" s="223" t="s">
        <v>49</v>
      </c>
      <c r="I37" s="38">
        <v>5.4000000000000003E-3</v>
      </c>
      <c r="J37" s="131">
        <f>ROUND(G37*I37,2)</f>
        <v>23207.22</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309859.31000000006</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7</v>
      </c>
      <c r="D41" s="414">
        <v>0</v>
      </c>
      <c r="E41" s="847">
        <f t="shared" ref="E41:E49" si="7">IF($D$50=0,C41*2,C41+D41)</f>
        <v>14</v>
      </c>
      <c r="F41" s="847"/>
      <c r="G41" s="223" t="s">
        <v>59</v>
      </c>
      <c r="H41" s="223">
        <v>251</v>
      </c>
      <c r="I41" s="136">
        <f>INDEX('[1]111-112-113 ADDITIONAL FUND'!D$1:D$65536,MATCH($A$1,'[1]111-112-113 ADDITIONAL FUND'!A$1:A$65536))</f>
        <v>1047</v>
      </c>
      <c r="J41" s="46">
        <f t="shared" ref="J41:J49" si="8">ROUND(E41*I41,2)</f>
        <v>14658</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3</v>
      </c>
      <c r="D42" s="414">
        <v>0</v>
      </c>
      <c r="E42" s="847">
        <f t="shared" si="7"/>
        <v>6</v>
      </c>
      <c r="F42" s="847"/>
      <c r="G42" s="223" t="s">
        <v>59</v>
      </c>
      <c r="H42" s="223">
        <v>252</v>
      </c>
      <c r="I42" s="136">
        <f>INDEX('[1]111-112-113 ADDITIONAL FUND'!E$1:E$65536,MATCH($A$1,'[1]111-112-113 ADDITIONAL FUND'!A$1:A$65536))</f>
        <v>3380</v>
      </c>
      <c r="J42" s="46">
        <f t="shared" si="8"/>
        <v>20280</v>
      </c>
      <c r="M42" s="2"/>
      <c r="R42" s="906"/>
      <c r="S42" s="906"/>
      <c r="T42" s="907"/>
      <c r="U42" s="907"/>
      <c r="V42" s="239" t="s">
        <v>59</v>
      </c>
      <c r="W42" s="239">
        <v>252</v>
      </c>
      <c r="X42" s="134">
        <f t="shared" si="9"/>
        <v>3380</v>
      </c>
      <c r="Y42" s="269">
        <f t="shared" ref="Y42:Y49" si="10">ROUND(T42*X42,2)</f>
        <v>0</v>
      </c>
    </row>
    <row r="43" spans="1:25" x14ac:dyDescent="0.25">
      <c r="A43" s="846"/>
      <c r="B43" s="846"/>
      <c r="C43" s="414">
        <v>0.5</v>
      </c>
      <c r="D43" s="414">
        <v>0</v>
      </c>
      <c r="E43" s="847">
        <f t="shared" si="7"/>
        <v>1</v>
      </c>
      <c r="F43" s="847"/>
      <c r="G43" s="223" t="s">
        <v>59</v>
      </c>
      <c r="H43" s="223">
        <v>253</v>
      </c>
      <c r="I43" s="136">
        <f>INDEX('[1]111-112-113 ADDITIONAL FUND'!F$1:F$65536,MATCH($A$1,'[1]111-112-113 ADDITIONAL FUND'!A$1:A$65536))</f>
        <v>6896</v>
      </c>
      <c r="J43" s="46">
        <f t="shared" si="8"/>
        <v>6896</v>
      </c>
      <c r="M43" s="2"/>
      <c r="R43" s="906"/>
      <c r="S43" s="906"/>
      <c r="T43" s="888"/>
      <c r="U43" s="888"/>
      <c r="V43" s="239" t="s">
        <v>59</v>
      </c>
      <c r="W43" s="239">
        <v>253</v>
      </c>
      <c r="X43" s="134">
        <f t="shared" si="9"/>
        <v>6896</v>
      </c>
      <c r="Y43" s="269">
        <f t="shared" si="10"/>
        <v>0</v>
      </c>
    </row>
    <row r="44" spans="1:25" ht="20.25" customHeight="1" x14ac:dyDescent="0.25">
      <c r="A44" s="846"/>
      <c r="B44" s="846"/>
      <c r="C44" s="414">
        <v>19.5</v>
      </c>
      <c r="D44" s="414">
        <v>0</v>
      </c>
      <c r="E44" s="847">
        <f t="shared" si="7"/>
        <v>39</v>
      </c>
      <c r="F44" s="847"/>
      <c r="G44" s="47" t="s">
        <v>60</v>
      </c>
      <c r="H44" s="223">
        <v>251</v>
      </c>
      <c r="I44" s="136">
        <f>INDEX('[1]111-112-113 ADDITIONAL FUND'!G$1:G$65536,MATCH($A$1,'[1]111-112-113 ADDITIONAL FUND'!A$1:A$65536))</f>
        <v>1173</v>
      </c>
      <c r="J44" s="137">
        <f t="shared" si="8"/>
        <v>45747</v>
      </c>
      <c r="L44" s="3"/>
      <c r="M44" s="2"/>
      <c r="Q44" s="4"/>
      <c r="R44" s="906"/>
      <c r="S44" s="906"/>
      <c r="T44" s="888"/>
      <c r="U44" s="888"/>
      <c r="V44" s="182" t="s">
        <v>60</v>
      </c>
      <c r="W44" s="239">
        <v>251</v>
      </c>
      <c r="X44" s="134">
        <f t="shared" si="9"/>
        <v>1173</v>
      </c>
      <c r="Y44" s="269">
        <f t="shared" si="10"/>
        <v>0</v>
      </c>
    </row>
    <row r="45" spans="1:25" x14ac:dyDescent="0.25">
      <c r="A45" s="846"/>
      <c r="B45" s="846"/>
      <c r="C45" s="414">
        <v>1.5</v>
      </c>
      <c r="D45" s="414">
        <v>0</v>
      </c>
      <c r="E45" s="847">
        <f t="shared" si="7"/>
        <v>3</v>
      </c>
      <c r="F45" s="847"/>
      <c r="G45" s="47" t="s">
        <v>60</v>
      </c>
      <c r="H45" s="223">
        <v>252</v>
      </c>
      <c r="I45" s="136">
        <f>INDEX('[1]111-112-113 ADDITIONAL FUND'!H$1:H$65536,MATCH($A$1,'[1]111-112-113 ADDITIONAL FUND'!A$1:A$65536))</f>
        <v>3506</v>
      </c>
      <c r="J45" s="46">
        <f t="shared" si="8"/>
        <v>10518</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31.5</v>
      </c>
      <c r="D50" s="584">
        <f>SUM(D41:D49)</f>
        <v>0</v>
      </c>
      <c r="E50" s="853">
        <f>SUM(E41:E49)</f>
        <v>63</v>
      </c>
      <c r="F50" s="853"/>
      <c r="G50" s="839" t="s">
        <v>63</v>
      </c>
      <c r="H50" s="839"/>
      <c r="I50" s="839"/>
      <c r="J50" s="276">
        <f>SUM(J41:J49)</f>
        <v>98099</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727.37999999999988</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3.3779999999999999E-3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772.4932</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3.3730000000000001E-3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727.37999999999988</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3.9069999999999999E-3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727.37999999999988</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3.3830000000000002E-3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727.37999999999988</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3.9139999999999999E-3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3.3830000000000002E-3</v>
      </c>
      <c r="J68" s="138">
        <f>ROUND(G68*I68,2)</f>
        <v>159984.6</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3.3779999999999999E-3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3.9139999999999999E-3</v>
      </c>
      <c r="J71" s="138">
        <f>ROUND(G71*I71,2)</f>
        <v>75023.09</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3.9069999999999999E-3</v>
      </c>
      <c r="J72" s="138">
        <f>ROUND(G72*I72,2)</f>
        <v>45113.7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3.3730000000000001E-3</v>
      </c>
      <c r="J85" s="138">
        <f>ROUND(G85*I85,2)</f>
        <v>906717.31</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3.3730000000000001E-3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3.3779999999999999E-3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374.08580000000006</v>
      </c>
      <c r="C90" s="245"/>
      <c r="D90" s="915">
        <f>I6</f>
        <v>1.0355000000000001</v>
      </c>
      <c r="E90" s="915"/>
      <c r="F90" s="915"/>
      <c r="G90" s="122">
        <f>'[1]Detail 2025-26 FEFP Second'!AB3</f>
        <v>958.42</v>
      </c>
      <c r="H90" s="47" t="s">
        <v>68</v>
      </c>
      <c r="I90" s="734">
        <f>ROUND(B90*D90*G90,2)</f>
        <v>371259.17</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398.4074</v>
      </c>
      <c r="C91" s="245"/>
      <c r="D91" s="915">
        <f>I6</f>
        <v>1.0355000000000001</v>
      </c>
      <c r="E91" s="915"/>
      <c r="F91" s="915"/>
      <c r="G91" s="122">
        <f>'[1]Detail 2025-26 FEFP Second'!AC3</f>
        <v>915.09</v>
      </c>
      <c r="H91" s="47" t="s">
        <v>68</v>
      </c>
      <c r="I91" s="734">
        <f>ROUND(B91*D91*G91,2)</f>
        <v>377521.17</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73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772.49320000000012</v>
      </c>
      <c r="C93" s="109"/>
      <c r="D93" s="109"/>
      <c r="E93" s="867" t="s">
        <v>112</v>
      </c>
      <c r="F93" s="867"/>
      <c r="G93" s="867"/>
      <c r="H93" s="867"/>
      <c r="I93" s="867"/>
      <c r="J93" s="127">
        <f>IF(A1=75,0,I92+I91+I90)</f>
        <v>748780.34</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0</v>
      </c>
      <c r="D97" s="279">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6331350.5499999998</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6021491.2400000002</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6021491.2400000002</v>
      </c>
      <c r="J114" s="296">
        <f>ROUND(IF(E28=0,0,IF(E28&gt;250,-(((250/E28)*I114)*IF(H114="H",0.02,0.05)),IF(H114="H",-0.02*I114,-0.05*I114))),2)</f>
        <v>-103479.12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6227871.4299999997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Payments'!R107</f>
        <v>-1031892.26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5195979.17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519597.92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197595.44</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347B-A64A-467C-97FF-39CA5C6AC343}">
  <dimension ref="A1:Z207"/>
  <sheetViews>
    <sheetView topLeftCell="A102" workbookViewId="0">
      <selection activeCell="J41" sqref="J41:J4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472</v>
      </c>
      <c r="B2" s="102"/>
      <c r="C2" s="102"/>
      <c r="D2" s="102"/>
      <c r="E2" s="100"/>
      <c r="F2" s="100"/>
      <c r="G2" s="100"/>
      <c r="H2" s="100"/>
      <c r="I2" s="100"/>
      <c r="J2" s="100"/>
      <c r="K2" s="6"/>
      <c r="L2" s="6"/>
      <c r="M2" s="6"/>
      <c r="N2" s="6"/>
      <c r="O2" s="6"/>
      <c r="P2" s="6"/>
      <c r="Q2" s="6"/>
      <c r="R2" s="920" t="str">
        <f>Revenue_Estimate_Worksheet_for___________Charter_School</f>
        <v>Revenue Estimate Worksheet: Renaissance Charter School at Cypress - 4050</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Second'!$C$1:$C$65536,MATCH('4051'!$A$1,'[1]Detail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Second'!$D$1:$D$65536,MATCH('4051'!$A$1,'[1]Detail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138.1</v>
      </c>
      <c r="D12" s="410">
        <v>0</v>
      </c>
      <c r="E12" s="824">
        <f t="shared" ref="E12:E27" si="0">IF($D$28=0,C12*2,C12+D12)</f>
        <v>276.2</v>
      </c>
      <c r="F12" s="824"/>
      <c r="G12" s="825">
        <v>1.1080000000000001</v>
      </c>
      <c r="H12" s="825"/>
      <c r="I12" s="577">
        <f>ROUND(E12*G12,4)</f>
        <v>306.02960000000002</v>
      </c>
      <c r="J12" s="578">
        <f t="shared" ref="J12:J27" si="1">ROUND(ROUND(ROUND(I12*$E$6,4)*($I$6),2)*(MAX($I$7,1)),2)</f>
        <v>1702542.83</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13</v>
      </c>
      <c r="D13" s="414">
        <v>0</v>
      </c>
      <c r="E13" s="832">
        <f t="shared" si="0"/>
        <v>26</v>
      </c>
      <c r="F13" s="832"/>
      <c r="G13" s="833">
        <v>1.1080000000000001</v>
      </c>
      <c r="H13" s="833"/>
      <c r="I13" s="577">
        <f t="shared" ref="I13:I27" si="2">ROUND(E13*G13,4)</f>
        <v>28.808</v>
      </c>
      <c r="J13" s="578">
        <f t="shared" si="1"/>
        <v>160268.32999999999</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148.02000000000001</v>
      </c>
      <c r="D14" s="414">
        <v>0</v>
      </c>
      <c r="E14" s="832">
        <f t="shared" si="0"/>
        <v>296.04000000000002</v>
      </c>
      <c r="F14" s="832"/>
      <c r="G14" s="833">
        <v>1</v>
      </c>
      <c r="H14" s="833"/>
      <c r="I14" s="577">
        <f t="shared" si="2"/>
        <v>296.04000000000002</v>
      </c>
      <c r="J14" s="578">
        <f>ROUND(ROUND(ROUND(I14*$E$6,4)*($I$6),2)*(MAX($I$7,1)),2)</f>
        <v>1646967.41</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26</v>
      </c>
      <c r="D15" s="414">
        <v>0</v>
      </c>
      <c r="E15" s="832">
        <f t="shared" si="0"/>
        <v>52</v>
      </c>
      <c r="F15" s="832"/>
      <c r="G15" s="833">
        <v>1</v>
      </c>
      <c r="H15" s="833"/>
      <c r="I15" s="577">
        <f t="shared" si="2"/>
        <v>52</v>
      </c>
      <c r="J15" s="578">
        <f t="shared" si="1"/>
        <v>289293.02</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26.4</v>
      </c>
      <c r="D24" s="414">
        <v>0</v>
      </c>
      <c r="E24" s="832">
        <f t="shared" si="0"/>
        <v>52.8</v>
      </c>
      <c r="F24" s="832"/>
      <c r="G24" s="833">
        <v>1.165</v>
      </c>
      <c r="H24" s="833"/>
      <c r="I24" s="577">
        <f t="shared" si="2"/>
        <v>61.512</v>
      </c>
      <c r="J24" s="578">
        <f t="shared" si="1"/>
        <v>342211.39</v>
      </c>
      <c r="M24" s="2"/>
      <c r="R24" s="756" t="s">
        <v>32</v>
      </c>
      <c r="S24" s="756"/>
      <c r="T24" s="897">
        <f t="shared" si="3"/>
        <v>0</v>
      </c>
      <c r="U24" s="897"/>
      <c r="V24" s="896">
        <v>1</v>
      </c>
      <c r="W24" s="896"/>
      <c r="X24" s="156">
        <f t="shared" si="4"/>
        <v>0</v>
      </c>
      <c r="Y24" s="266">
        <f t="shared" si="6"/>
        <v>0</v>
      </c>
    </row>
    <row r="25" spans="1:25" x14ac:dyDescent="0.25">
      <c r="A25" s="757" t="s">
        <v>33</v>
      </c>
      <c r="B25" s="757"/>
      <c r="C25" s="414">
        <v>29.98</v>
      </c>
      <c r="D25" s="414">
        <v>0</v>
      </c>
      <c r="E25" s="832">
        <f t="shared" si="0"/>
        <v>59.96</v>
      </c>
      <c r="F25" s="832"/>
      <c r="G25" s="833">
        <v>1.165</v>
      </c>
      <c r="H25" s="833"/>
      <c r="I25" s="577">
        <f t="shared" si="2"/>
        <v>69.853399999999993</v>
      </c>
      <c r="J25" s="578">
        <f t="shared" si="1"/>
        <v>388617.33</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26">
        <f>SUM(C12:C27)</f>
        <v>381.5</v>
      </c>
      <c r="D28" s="126">
        <f>SUM(D12:D27)</f>
        <v>0</v>
      </c>
      <c r="E28" s="837">
        <f>SUM(E12:E27)</f>
        <v>763</v>
      </c>
      <c r="F28" s="837"/>
      <c r="G28" s="838"/>
      <c r="H28" s="838"/>
      <c r="I28" s="23">
        <f>SUM(I12:I27)</f>
        <v>814.24299999999994</v>
      </c>
      <c r="J28" s="127">
        <f>SUM(J12:J27)</f>
        <v>4529900.3100000005</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814.24299999999994</v>
      </c>
      <c r="H33" s="838" t="s">
        <v>45</v>
      </c>
      <c r="I33" s="838"/>
      <c r="J33" s="32">
        <f>SUM(J32,J28)</f>
        <v>4529900.3100000005</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4529900.3100000005</v>
      </c>
      <c r="H36" s="223" t="s">
        <v>49</v>
      </c>
      <c r="I36" s="38">
        <v>6.6699999999999995E-2</v>
      </c>
      <c r="J36" s="131">
        <f>ROUND(G36*I36,2)</f>
        <v>302144.34999999998</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4529900.3100000005</v>
      </c>
      <c r="H37" s="223" t="s">
        <v>49</v>
      </c>
      <c r="I37" s="38">
        <v>5.4000000000000003E-3</v>
      </c>
      <c r="J37" s="131">
        <f>ROUND(G37*I37,2)</f>
        <v>24461.46</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326605.81</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11.5</v>
      </c>
      <c r="D41" s="414">
        <v>0</v>
      </c>
      <c r="E41" s="847">
        <f t="shared" ref="E41:E49" si="7">IF($D$50=0,C41*2,C41+D41)</f>
        <v>23</v>
      </c>
      <c r="F41" s="847"/>
      <c r="G41" s="223" t="s">
        <v>59</v>
      </c>
      <c r="H41" s="223">
        <v>251</v>
      </c>
      <c r="I41" s="136">
        <f>INDEX('[1]111-112-113 ADDITIONAL FUND'!D$1:D$65536,MATCH($A$1,'[1]111-112-113 ADDITIONAL FUND'!A$1:A$65536))</f>
        <v>1047</v>
      </c>
      <c r="J41" s="734">
        <f t="shared" ref="J41:J49" si="8">ROUND(E41*I41,2)</f>
        <v>24081</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1.5</v>
      </c>
      <c r="D42" s="414">
        <v>0</v>
      </c>
      <c r="E42" s="847">
        <f t="shared" si="7"/>
        <v>3</v>
      </c>
      <c r="F42" s="847"/>
      <c r="G42" s="223" t="s">
        <v>59</v>
      </c>
      <c r="H42" s="223">
        <v>252</v>
      </c>
      <c r="I42" s="136">
        <f>INDEX('[1]111-112-113 ADDITIONAL FUND'!E$1:E$65536,MATCH($A$1,'[1]111-112-113 ADDITIONAL FUND'!A$1:A$65536))</f>
        <v>3380</v>
      </c>
      <c r="J42" s="734">
        <f t="shared" si="8"/>
        <v>10140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23</v>
      </c>
      <c r="D44" s="414">
        <v>0</v>
      </c>
      <c r="E44" s="847">
        <f t="shared" si="7"/>
        <v>46</v>
      </c>
      <c r="F44" s="847"/>
      <c r="G44" s="47" t="s">
        <v>60</v>
      </c>
      <c r="H44" s="223">
        <v>251</v>
      </c>
      <c r="I44" s="136">
        <f>INDEX('[1]111-112-113 ADDITIONAL FUND'!G$1:G$65536,MATCH($A$1,'[1]111-112-113 ADDITIONAL FUND'!A$1:A$65536))</f>
        <v>1173</v>
      </c>
      <c r="J44" s="734">
        <f t="shared" si="8"/>
        <v>53958</v>
      </c>
      <c r="L44" s="3"/>
      <c r="M44" s="2"/>
      <c r="Q44" s="4"/>
      <c r="R44" s="906"/>
      <c r="S44" s="906"/>
      <c r="T44" s="888"/>
      <c r="U44" s="888"/>
      <c r="V44" s="182" t="s">
        <v>60</v>
      </c>
      <c r="W44" s="239">
        <v>251</v>
      </c>
      <c r="X44" s="134">
        <f t="shared" si="9"/>
        <v>1173</v>
      </c>
      <c r="Y44" s="269">
        <f t="shared" si="10"/>
        <v>0</v>
      </c>
    </row>
    <row r="45" spans="1:25" x14ac:dyDescent="0.25">
      <c r="A45" s="846"/>
      <c r="B45" s="846"/>
      <c r="C45" s="414">
        <v>3</v>
      </c>
      <c r="D45" s="414">
        <v>0</v>
      </c>
      <c r="E45" s="847">
        <f t="shared" si="7"/>
        <v>6</v>
      </c>
      <c r="F45" s="847"/>
      <c r="G45" s="47" t="s">
        <v>60</v>
      </c>
      <c r="H45" s="223">
        <v>252</v>
      </c>
      <c r="I45" s="136">
        <f>INDEX('[1]111-112-113 ADDITIONAL FUND'!H$1:H$65536,MATCH($A$1,'[1]111-112-113 ADDITIONAL FUND'!A$1:A$65536))</f>
        <v>3506</v>
      </c>
      <c r="J45" s="734">
        <f t="shared" si="8"/>
        <v>21036</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734">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734">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39</v>
      </c>
      <c r="D50" s="584">
        <f>SUM(D41:D49)</f>
        <v>0</v>
      </c>
      <c r="E50" s="853">
        <f>SUM(E41:E49)</f>
        <v>78</v>
      </c>
      <c r="F50" s="853"/>
      <c r="G50" s="839" t="s">
        <v>63</v>
      </c>
      <c r="H50" s="839"/>
      <c r="I50" s="839"/>
      <c r="J50" s="276">
        <f>SUM(J41:J49)</f>
        <v>109215</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763</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3.5439999999999998E-3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814.24299999999994</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3.555E-3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763</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4.0990000000000002E-3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763</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3.5490000000000001E-3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763</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4.1050000000000001E-3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3.5490000000000001E-3</v>
      </c>
      <c r="J68" s="138">
        <f>ROUND(G68*I68,2)</f>
        <v>167834.86</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3.5439999999999998E-3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4.1050000000000001E-3</v>
      </c>
      <c r="J71" s="138">
        <f>ROUND(G71*I71,2)</f>
        <v>78684.149999999994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4.0990000000000002E-3</v>
      </c>
      <c r="J72" s="138">
        <f>ROUND(G72*I72,2)</f>
        <v>47330.7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3.555E-3</v>
      </c>
      <c r="J85" s="138">
        <f>ROUND(G85*I85,2)</f>
        <v>955641.87</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3.555E-3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3.5439999999999998E-3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396.34960000000001</v>
      </c>
      <c r="C90" s="245"/>
      <c r="D90" s="915">
        <f>I6</f>
        <v>1.0355000000000001</v>
      </c>
      <c r="E90" s="915"/>
      <c r="F90" s="915"/>
      <c r="G90" s="122">
        <f>'[1]Detail 2025-26 FEFP Second'!AB3</f>
        <v>958.42</v>
      </c>
      <c r="H90" s="47" t="s">
        <v>68</v>
      </c>
      <c r="I90" s="141">
        <f>ROUND(B90*D90*G90,2)</f>
        <v>393354.75</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417.89340000000004</v>
      </c>
      <c r="C91" s="245"/>
      <c r="D91" s="915">
        <f>I6</f>
        <v>1.0355000000000001</v>
      </c>
      <c r="E91" s="915"/>
      <c r="F91" s="915"/>
      <c r="G91" s="122">
        <f>'[1]Detail 2025-26 FEFP Second'!AC3</f>
        <v>915.09</v>
      </c>
      <c r="H91" s="47" t="s">
        <v>68</v>
      </c>
      <c r="I91" s="140">
        <f>ROUND(B91*D91*G91,2)</f>
        <v>395985.63</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814.24300000000005</v>
      </c>
      <c r="C93" s="109"/>
      <c r="D93" s="109"/>
      <c r="E93" s="867" t="s">
        <v>112</v>
      </c>
      <c r="F93" s="867"/>
      <c r="G93" s="867"/>
      <c r="H93" s="867"/>
      <c r="I93" s="867"/>
      <c r="J93" s="127">
        <f>IF(A1=75,0,I92+I91+I90)</f>
        <v>789340.38</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0</v>
      </c>
      <c r="D97" s="279">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6677947.2700000005</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6351341.4600000009</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6351341.4600000009</v>
      </c>
      <c r="J114" s="296">
        <f>ROUND(IF(E28=0,0,IF(E28&gt;250,-(((250/E28)*I114)*IF(H114="H",0.02,0.05)),IF(H114="H",-0.02*I114,-0.05*I114))),2)</f>
        <v>-104052.12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6573895.1500000004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Payments'!R108</f>
        <v>-1089602.4300000002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5484292.7200000007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548429.27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213514.95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566E-A4FB-4BCB-8538-59A1BF4ADCB9}">
  <dimension ref="A1:Z207"/>
  <sheetViews>
    <sheetView topLeftCell="A105" workbookViewId="0">
      <selection activeCell="H114" sqref="H11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473</v>
      </c>
      <c r="B2" s="102"/>
      <c r="C2" s="102"/>
      <c r="D2" s="102"/>
      <c r="E2" s="100"/>
      <c r="F2" s="100"/>
      <c r="G2" s="100"/>
      <c r="H2" s="100"/>
      <c r="I2" s="100"/>
      <c r="J2" s="100"/>
      <c r="K2" s="6"/>
      <c r="L2" s="6"/>
      <c r="M2" s="6"/>
      <c r="N2" s="6"/>
      <c r="O2" s="6"/>
      <c r="P2" s="6"/>
      <c r="Q2" s="6"/>
      <c r="R2" s="920" t="str">
        <f>Revenue_Estimate_Worksheet_for___________Charter_School</f>
        <v>Revenue Estimate Worksheet: Franklin Academy - Palm Beach Gardens - 4061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Second'!$C$1:$C$65536,MATCH('4061'!$A$1,'[1]Detail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177.86</v>
      </c>
      <c r="D12" s="410">
        <v>0</v>
      </c>
      <c r="E12" s="824">
        <f t="shared" ref="E12:E27" si="0">IF($D$28=0,C12*2,C12+D12)</f>
        <v>355.72</v>
      </c>
      <c r="F12" s="824"/>
      <c r="G12" s="825">
        <v>1.1080000000000001</v>
      </c>
      <c r="H12" s="825"/>
      <c r="I12" s="577">
        <f>ROUND(E12*G12,4)</f>
        <v>394.13780000000003</v>
      </c>
      <c r="J12" s="578">
        <f t="shared" ref="J12:J27" si="1">ROUND(ROUND(ROUND(I12*$E$6,4)*($I$6),2)*(MAX($I$7,1)),2)</f>
        <v>2192717.58</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14.5</v>
      </c>
      <c r="D13" s="414">
        <v>0</v>
      </c>
      <c r="E13" s="832">
        <f t="shared" si="0"/>
        <v>29</v>
      </c>
      <c r="F13" s="832"/>
      <c r="G13" s="833">
        <v>1.1080000000000001</v>
      </c>
      <c r="H13" s="833"/>
      <c r="I13" s="577">
        <f t="shared" ref="I13:I27" si="2">ROUND(E13*G13,4)</f>
        <v>32.131999999999998</v>
      </c>
      <c r="J13" s="578">
        <f t="shared" si="1"/>
        <v>178760.83</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227.76</v>
      </c>
      <c r="D14" s="414">
        <v>0</v>
      </c>
      <c r="E14" s="832">
        <f t="shared" si="0"/>
        <v>455.52</v>
      </c>
      <c r="F14" s="832"/>
      <c r="G14" s="833">
        <v>1</v>
      </c>
      <c r="H14" s="833"/>
      <c r="I14" s="577">
        <f t="shared" si="2"/>
        <v>455.52</v>
      </c>
      <c r="J14" s="578">
        <f>ROUND(ROUND(ROUND(I14*$E$6,4)*($I$6),2)*(MAX($I$7,1)),2)</f>
        <v>2534206.85</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30.5</v>
      </c>
      <c r="D15" s="414">
        <v>0</v>
      </c>
      <c r="E15" s="832">
        <f t="shared" si="0"/>
        <v>61</v>
      </c>
      <c r="F15" s="832"/>
      <c r="G15" s="833">
        <v>1</v>
      </c>
      <c r="H15" s="833"/>
      <c r="I15" s="577">
        <f t="shared" si="2"/>
        <v>61</v>
      </c>
      <c r="J15" s="578">
        <f t="shared" si="1"/>
        <v>339362.97</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19.36</v>
      </c>
      <c r="D24" s="414">
        <v>0</v>
      </c>
      <c r="E24" s="832">
        <f t="shared" si="0"/>
        <v>38.72</v>
      </c>
      <c r="F24" s="832"/>
      <c r="G24" s="833">
        <v>1.165</v>
      </c>
      <c r="H24" s="833"/>
      <c r="I24" s="577">
        <f t="shared" si="2"/>
        <v>45.108800000000002</v>
      </c>
      <c r="J24" s="578">
        <f t="shared" si="1"/>
        <v>250955.02</v>
      </c>
      <c r="M24" s="2"/>
      <c r="R24" s="756" t="s">
        <v>32</v>
      </c>
      <c r="S24" s="756"/>
      <c r="T24" s="897">
        <f t="shared" si="3"/>
        <v>0</v>
      </c>
      <c r="U24" s="897"/>
      <c r="V24" s="896">
        <v>1</v>
      </c>
      <c r="W24" s="896"/>
      <c r="X24" s="156">
        <f t="shared" si="4"/>
        <v>0</v>
      </c>
      <c r="Y24" s="266">
        <f t="shared" si="6"/>
        <v>0</v>
      </c>
    </row>
    <row r="25" spans="1:25" x14ac:dyDescent="0.25">
      <c r="A25" s="757" t="s">
        <v>33</v>
      </c>
      <c r="B25" s="757"/>
      <c r="C25" s="414">
        <v>10.93</v>
      </c>
      <c r="D25" s="414">
        <v>0</v>
      </c>
      <c r="E25" s="832">
        <f t="shared" si="0"/>
        <v>21.86</v>
      </c>
      <c r="F25" s="832"/>
      <c r="G25" s="833">
        <v>1.165</v>
      </c>
      <c r="H25" s="833"/>
      <c r="I25" s="577">
        <f t="shared" si="2"/>
        <v>25.466899999999999</v>
      </c>
      <c r="J25" s="578">
        <f t="shared" si="1"/>
        <v>141680.70000000001</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480.91</v>
      </c>
      <c r="D28" s="126">
        <f>SUM(D12:D27)</f>
        <v>0</v>
      </c>
      <c r="E28" s="837">
        <f>SUM(E12:E27)</f>
        <v>961.82</v>
      </c>
      <c r="F28" s="837"/>
      <c r="G28" s="838"/>
      <c r="H28" s="838"/>
      <c r="I28" s="23">
        <f>SUM(I12:I27)</f>
        <v>1013.3655</v>
      </c>
      <c r="J28" s="127">
        <f>SUM(J12:J27)</f>
        <v>5637683.9499999993</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1013.3655</v>
      </c>
      <c r="H33" s="838" t="s">
        <v>45</v>
      </c>
      <c r="I33" s="838"/>
      <c r="J33" s="32">
        <f>SUM(J32,J28)</f>
        <v>5637683.9499999993</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v>5637683.9499999993</v>
      </c>
      <c r="H36" s="223" t="s">
        <v>49</v>
      </c>
      <c r="I36" s="38">
        <v>6.6699999999999995E-2</v>
      </c>
      <c r="J36" s="131">
        <f>ROUND(G36*I36,2)</f>
        <v>376033.52</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v>5637683.9499999993</v>
      </c>
      <c r="H37" s="223" t="s">
        <v>49</v>
      </c>
      <c r="I37" s="38">
        <v>5.4000000000000003E-3</v>
      </c>
      <c r="J37" s="131">
        <f>ROUND(G37*I37,2)</f>
        <v>30443.49</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406477.01</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10</v>
      </c>
      <c r="D41" s="414">
        <v>0</v>
      </c>
      <c r="E41" s="847">
        <f t="shared" ref="E41:E49" si="7">IF($D$50=0,C41*2,C41+D41)</f>
        <v>20</v>
      </c>
      <c r="F41" s="847"/>
      <c r="G41" s="223" t="s">
        <v>59</v>
      </c>
      <c r="H41" s="223">
        <v>251</v>
      </c>
      <c r="I41" s="136">
        <f>INDEX('[1]111-112-113 ADDITIONAL FUND'!D$1:D$65536,MATCH($A$1,'[1]111-112-113 ADDITIONAL FUND'!A$1:A$65536))</f>
        <v>1047</v>
      </c>
      <c r="J41" s="46">
        <f t="shared" ref="J41:J49" si="8">ROUND(E41*I41,2)</f>
        <v>20940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4</v>
      </c>
      <c r="D42" s="414">
        <v>0</v>
      </c>
      <c r="E42" s="847">
        <f t="shared" si="7"/>
        <v>8</v>
      </c>
      <c r="F42" s="847"/>
      <c r="G42" s="223" t="s">
        <v>59</v>
      </c>
      <c r="H42" s="223">
        <v>252</v>
      </c>
      <c r="I42" s="136">
        <f>INDEX('[1]111-112-113 ADDITIONAL FUND'!E$1:E$65536,MATCH($A$1,'[1]111-112-113 ADDITIONAL FUND'!A$1:A$65536))</f>
        <v>3380</v>
      </c>
      <c r="J42" s="46">
        <f t="shared" si="8"/>
        <v>27040</v>
      </c>
      <c r="M42" s="2"/>
      <c r="R42" s="906"/>
      <c r="S42" s="906"/>
      <c r="T42" s="907"/>
      <c r="U42" s="907"/>
      <c r="V42" s="239" t="s">
        <v>59</v>
      </c>
      <c r="W42" s="239">
        <v>252</v>
      </c>
      <c r="X42" s="134">
        <f t="shared" si="9"/>
        <v>3380</v>
      </c>
      <c r="Y42" s="269">
        <f t="shared" ref="Y42:Y49" si="10">ROUND(T42*X42,2)</f>
        <v>0</v>
      </c>
    </row>
    <row r="43" spans="1:25" x14ac:dyDescent="0.25">
      <c r="A43" s="846"/>
      <c r="B43" s="846"/>
      <c r="C43" s="414">
        <v>0.5</v>
      </c>
      <c r="D43" s="414">
        <v>0</v>
      </c>
      <c r="E43" s="847">
        <f t="shared" si="7"/>
        <v>1</v>
      </c>
      <c r="F43" s="847"/>
      <c r="G43" s="223" t="s">
        <v>59</v>
      </c>
      <c r="H43" s="223">
        <v>253</v>
      </c>
      <c r="I43" s="136">
        <f>INDEX('[1]111-112-113 ADDITIONAL FUND'!F$1:F$65536,MATCH($A$1,'[1]111-112-113 ADDITIONAL FUND'!A$1:A$65536))</f>
        <v>6896</v>
      </c>
      <c r="J43" s="46">
        <f t="shared" si="8"/>
        <v>6896</v>
      </c>
      <c r="M43" s="2"/>
      <c r="R43" s="906"/>
      <c r="S43" s="906"/>
      <c r="T43" s="888"/>
      <c r="U43" s="888"/>
      <c r="V43" s="239" t="s">
        <v>59</v>
      </c>
      <c r="W43" s="239">
        <v>253</v>
      </c>
      <c r="X43" s="134">
        <f t="shared" si="9"/>
        <v>6896</v>
      </c>
      <c r="Y43" s="269">
        <f t="shared" si="10"/>
        <v>0</v>
      </c>
    </row>
    <row r="44" spans="1:25" ht="20.25" customHeight="1" x14ac:dyDescent="0.25">
      <c r="A44" s="846"/>
      <c r="B44" s="846"/>
      <c r="C44" s="414">
        <v>21.5</v>
      </c>
      <c r="D44" s="414">
        <v>0</v>
      </c>
      <c r="E44" s="847">
        <f t="shared" si="7"/>
        <v>43</v>
      </c>
      <c r="F44" s="847"/>
      <c r="G44" s="47" t="s">
        <v>60</v>
      </c>
      <c r="H44" s="223">
        <v>251</v>
      </c>
      <c r="I44" s="136">
        <f>INDEX('[1]111-112-113 ADDITIONAL FUND'!G$1:G$65536,MATCH($A$1,'[1]111-112-113 ADDITIONAL FUND'!A$1:A$65536))</f>
        <v>1173</v>
      </c>
      <c r="J44" s="137">
        <f t="shared" si="8"/>
        <v>50439</v>
      </c>
      <c r="L44" s="3"/>
      <c r="M44" s="2"/>
      <c r="Q44" s="4"/>
      <c r="R44" s="906"/>
      <c r="S44" s="906"/>
      <c r="T44" s="888"/>
      <c r="U44" s="888"/>
      <c r="V44" s="182" t="s">
        <v>60</v>
      </c>
      <c r="W44" s="239">
        <v>251</v>
      </c>
      <c r="X44" s="134">
        <f t="shared" si="9"/>
        <v>1173</v>
      </c>
      <c r="Y44" s="269">
        <f t="shared" si="10"/>
        <v>0</v>
      </c>
    </row>
    <row r="45" spans="1:25" x14ac:dyDescent="0.25">
      <c r="A45" s="846"/>
      <c r="B45" s="846"/>
      <c r="C45" s="414">
        <v>9</v>
      </c>
      <c r="D45" s="414">
        <v>0</v>
      </c>
      <c r="E45" s="847">
        <f t="shared" si="7"/>
        <v>18</v>
      </c>
      <c r="F45" s="847"/>
      <c r="G45" s="47" t="s">
        <v>60</v>
      </c>
      <c r="H45" s="223">
        <v>252</v>
      </c>
      <c r="I45" s="136">
        <f>INDEX('[1]111-112-113 ADDITIONAL FUND'!H$1:H$65536,MATCH($A$1,'[1]111-112-113 ADDITIONAL FUND'!A$1:A$65536))</f>
        <v>3506</v>
      </c>
      <c r="J45" s="46">
        <f t="shared" si="8"/>
        <v>63108</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45</v>
      </c>
      <c r="D50" s="584">
        <f>SUM(D41:D49)</f>
        <v>0</v>
      </c>
      <c r="E50" s="853">
        <f>SUM(E41:E49)</f>
        <v>90</v>
      </c>
      <c r="F50" s="853"/>
      <c r="G50" s="839" t="s">
        <v>63</v>
      </c>
      <c r="H50" s="839"/>
      <c r="I50" s="839"/>
      <c r="J50" s="276">
        <f>SUM(J41:J49)</f>
        <v>168423</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961.82</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4.4669999999999996E-3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1013.3655</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4.424E-3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961.82</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5.1669999999999997E-3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961.82</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4.4730000000000004E-3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961.82</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5.1749999999999999E-3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4.4730000000000004E-3</v>
      </c>
      <c r="J68" s="138">
        <f>ROUND(G68*I68,2)</f>
        <v>211531.51</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4.4669999999999996E-3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5.1749999999999999E-3</v>
      </c>
      <c r="J71" s="138">
        <f>ROUND(G71*I71,2)</f>
        <v>99193.78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5.1669999999999997E-3</v>
      </c>
      <c r="J72" s="138">
        <f>ROUND(G72*I72,2)</f>
        <v>59662.78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4.424E-3</v>
      </c>
      <c r="J85" s="138">
        <f>ROUND(G85*I85,2)</f>
        <v>1189243.21</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4.424E-3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4.4669999999999996E-3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471.37860000000001</v>
      </c>
      <c r="C90" s="245"/>
      <c r="D90" s="915">
        <f>I6</f>
        <v>1.0355000000000001</v>
      </c>
      <c r="E90" s="915"/>
      <c r="F90" s="915"/>
      <c r="G90" s="122">
        <f>'[1]Detail 2025-26 FEFP Second'!AB3</f>
        <v>958.42</v>
      </c>
      <c r="H90" s="47" t="s">
        <v>68</v>
      </c>
      <c r="I90" s="734">
        <f>ROUND(B90*D90*G90,2)</f>
        <v>467816.82</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541.98689999999999</v>
      </c>
      <c r="C91" s="245"/>
      <c r="D91" s="915">
        <f>I6</f>
        <v>1.0355000000000001</v>
      </c>
      <c r="E91" s="915"/>
      <c r="F91" s="915"/>
      <c r="G91" s="122">
        <f>'[1]Detail 2025-26 FEFP Second'!AC3</f>
        <v>915.09</v>
      </c>
      <c r="H91" s="47" t="s">
        <v>68</v>
      </c>
      <c r="I91" s="734">
        <f>ROUND(B91*D91*G91,2)</f>
        <v>513573.61</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73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1013.3655</v>
      </c>
      <c r="C93" s="109"/>
      <c r="D93" s="109"/>
      <c r="E93" s="867" t="s">
        <v>112</v>
      </c>
      <c r="F93" s="867"/>
      <c r="G93" s="867"/>
      <c r="H93" s="867"/>
      <c r="I93" s="867"/>
      <c r="J93" s="127">
        <f>IF(A1=75,0,I92+I91+I90)</f>
        <v>981390.42999999993</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v>179</v>
      </c>
      <c r="D97" s="279">
        <v>192</v>
      </c>
      <c r="E97" s="942">
        <f>(C97+D97)/2</f>
        <v>185.5</v>
      </c>
      <c r="F97" s="871"/>
      <c r="G97" s="871"/>
      <c r="H97" s="224" t="s">
        <v>117</v>
      </c>
      <c r="I97" s="130">
        <f>IF(A1&gt;67,0,INDEX('[1]Transportation Per Student'!F$1:F$65536,MATCH(A1,'[1]Transportation Per Student'!B$1:B$65536)))</f>
        <v>617</v>
      </c>
      <c r="J97" s="138">
        <f>ROUND(I97*E97,2)</f>
        <v>114453.5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8461582.1600000001</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8055105.1500000004</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8055105.1500000004</v>
      </c>
      <c r="J114" s="296">
        <f>ROUND(IF(E28=0,0,IF(E28&gt;250,-(((250/E28)*I114)*IF(H114="H",0.02,0.05)),IF(H114="H",-0.02*I114,-0.05*I114))),2)</f>
        <v>-104685.71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8356896.4500000002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Payments'!R109</f>
        <v>-1383665.13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6973231.3200000003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697323.13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298069.55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1390-C5FD-40CF-A876-5D97A1C58C40}">
  <dimension ref="A1:Z207"/>
  <sheetViews>
    <sheetView workbookViewId="0">
      <selection activeCell="H119" sqref="H11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474</v>
      </c>
      <c r="B2" s="102"/>
      <c r="C2" s="102"/>
      <c r="D2" s="102"/>
      <c r="E2" s="100"/>
      <c r="F2" s="100"/>
      <c r="G2" s="100"/>
      <c r="H2" s="100"/>
      <c r="I2" s="100"/>
      <c r="J2" s="100"/>
      <c r="K2" s="6"/>
      <c r="L2" s="6"/>
      <c r="M2" s="6"/>
      <c r="N2" s="6"/>
      <c r="O2" s="6"/>
      <c r="P2" s="6"/>
      <c r="Q2" s="6"/>
      <c r="R2" s="920" t="str">
        <f>Revenue_Estimate_Worksheet_for___________Charter_School</f>
        <v>Revenue Estimate Worksheet: University Prep Palm Beach - 4080</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Second'!$C$1:$C$65536,MATCH('4080'!$A$1,'[1]Detail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Second'!$D$1:$D$65536,MATCH('4080'!$A$1,'[1]Detail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0</v>
      </c>
      <c r="D28" s="126">
        <f>SUM(D12:D27)</f>
        <v>0</v>
      </c>
      <c r="E28" s="837">
        <f>SUM(E12:E27)</f>
        <v>0</v>
      </c>
      <c r="F28" s="837"/>
      <c r="G28" s="838"/>
      <c r="H28" s="838"/>
      <c r="I28" s="23">
        <f>SUM(I12:I27)</f>
        <v>0</v>
      </c>
      <c r="J28" s="127">
        <f>SUM(J12:J27)</f>
        <v>0</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0</v>
      </c>
      <c r="H33" s="838" t="s">
        <v>45</v>
      </c>
      <c r="I33" s="838"/>
      <c r="J33" s="32">
        <f>SUM(J32,J28)</f>
        <v>0</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132"/>
      <c r="H36" s="223" t="s">
        <v>49</v>
      </c>
      <c r="I36" s="38">
        <v>6.6699999999999995E-2</v>
      </c>
      <c r="J36" s="131">
        <f>ROUND(G36*I36,2)</f>
        <v>0</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132"/>
      <c r="H37" s="223" t="s">
        <v>49</v>
      </c>
      <c r="I37" s="38">
        <v>5.4000000000000003E-3</v>
      </c>
      <c r="J37" s="131">
        <f>ROUND(G37*I37,2)</f>
        <v>0</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0</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c r="D45" s="414">
        <v>0</v>
      </c>
      <c r="E45" s="847">
        <f t="shared" si="7"/>
        <v>0</v>
      </c>
      <c r="F45" s="847"/>
      <c r="G45" s="47" t="s">
        <v>60</v>
      </c>
      <c r="H45" s="223">
        <v>252</v>
      </c>
      <c r="I45" s="136">
        <f>INDEX('[1]111-112-113 ADDITIONAL FUND'!H$1:H$65536,MATCH($A$1,'[1]111-112-113 ADDITIONAL FUND'!A$1:A$65536))</f>
        <v>3506</v>
      </c>
      <c r="J45" s="46">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0</v>
      </c>
      <c r="D50" s="584">
        <f>SUM(D41:D49)</f>
        <v>0</v>
      </c>
      <c r="E50" s="853">
        <f>SUM(E41:E49)</f>
        <v>0</v>
      </c>
      <c r="F50" s="853"/>
      <c r="G50" s="839" t="s">
        <v>63</v>
      </c>
      <c r="H50" s="839"/>
      <c r="I50" s="839"/>
      <c r="J50" s="276">
        <f>SUM(J41:J49)</f>
        <v>0</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0</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0</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0</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0</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0</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0</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0</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0</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0</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0</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0</v>
      </c>
      <c r="J68" s="138">
        <f>ROUND(G68*I68,2)</f>
        <v>0</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0</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0</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141">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0</v>
      </c>
      <c r="C91" s="245"/>
      <c r="D91" s="915">
        <f>I6</f>
        <v>1.0355000000000001</v>
      </c>
      <c r="E91" s="915"/>
      <c r="F91" s="915"/>
      <c r="G91" s="122">
        <f>'[1]Detail 2025-26 FEFP Second'!AC3</f>
        <v>915.09</v>
      </c>
      <c r="H91" s="47" t="s">
        <v>68</v>
      </c>
      <c r="I91" s="140">
        <f>ROUND(B91*D91*G91,2)</f>
        <v>0</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0</v>
      </c>
      <c r="C93" s="109"/>
      <c r="D93" s="109"/>
      <c r="E93" s="867" t="s">
        <v>112</v>
      </c>
      <c r="F93" s="867"/>
      <c r="G93" s="867"/>
      <c r="H93" s="867"/>
      <c r="I93" s="867"/>
      <c r="J93" s="127">
        <f>IF(A1=75,0,I92+I91+I90)</f>
        <v>0</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279"/>
      <c r="D97" s="279"/>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0</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0</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Payments'!R110</f>
        <v>-166059.87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-166059.87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7FDD-3DB2-4968-836E-DA7169B00014}">
  <dimension ref="A1:Z207"/>
  <sheetViews>
    <sheetView topLeftCell="A100" workbookViewId="0">
      <selection activeCell="I90" sqref="I90:I92"/>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475</v>
      </c>
      <c r="B2" s="102"/>
      <c r="C2" s="102"/>
      <c r="D2" s="102"/>
      <c r="E2" s="100"/>
      <c r="F2" s="100"/>
      <c r="G2" s="100"/>
      <c r="H2" s="100"/>
      <c r="I2" s="100"/>
      <c r="J2" s="100"/>
      <c r="K2" s="6"/>
      <c r="L2" s="6"/>
      <c r="M2" s="6"/>
      <c r="N2" s="6"/>
      <c r="O2" s="6"/>
      <c r="P2" s="6"/>
      <c r="Q2" s="6"/>
      <c r="R2" s="920" t="str">
        <f>Revenue_Estimate_Worksheet_for___________Charter_School</f>
        <v>Revenue Estimate Worksheet: Florida Futures Academy - North Campus - 4081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Second'!$C$1:$C$65536,MATCH('4081'!$A$1,'[1]Detail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Second'!$D$1:$D$65536,MATCH('4081'!$A$1,'[1]Detail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49.24</v>
      </c>
      <c r="D16" s="414">
        <v>0</v>
      </c>
      <c r="E16" s="832">
        <f t="shared" si="0"/>
        <v>98.48</v>
      </c>
      <c r="F16" s="832"/>
      <c r="G16" s="833">
        <v>0.97199999999999998</v>
      </c>
      <c r="H16" s="833"/>
      <c r="I16" s="577">
        <f t="shared" si="2"/>
        <v>95.7226</v>
      </c>
      <c r="J16" s="578">
        <f t="shared" si="1"/>
        <v>532536.15</v>
      </c>
      <c r="M16" s="2"/>
      <c r="R16" s="756" t="s">
        <v>24</v>
      </c>
      <c r="S16" s="756"/>
      <c r="T16" s="897">
        <f t="shared" si="3"/>
        <v>0</v>
      </c>
      <c r="U16" s="897"/>
      <c r="V16" s="896">
        <v>1</v>
      </c>
      <c r="W16" s="896"/>
      <c r="X16" s="156">
        <f t="shared" si="4"/>
        <v>0</v>
      </c>
      <c r="Y16" s="266">
        <f t="shared" si="6"/>
        <v>0</v>
      </c>
    </row>
    <row r="17" spans="1:25" x14ac:dyDescent="0.25">
      <c r="A17" s="757" t="s">
        <v>25</v>
      </c>
      <c r="B17" s="757"/>
      <c r="C17" s="414">
        <v>10.88</v>
      </c>
      <c r="D17" s="414">
        <v>0</v>
      </c>
      <c r="E17" s="832">
        <f t="shared" si="0"/>
        <v>21.76</v>
      </c>
      <c r="F17" s="832"/>
      <c r="G17" s="833">
        <v>0.97199999999999998</v>
      </c>
      <c r="H17" s="833"/>
      <c r="I17" s="577">
        <f t="shared" si="2"/>
        <v>21.150700000000001</v>
      </c>
      <c r="J17" s="578">
        <f t="shared" si="1"/>
        <v>117668.27</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4.0199999999999996</v>
      </c>
      <c r="D26" s="414">
        <v>0</v>
      </c>
      <c r="E26" s="832">
        <f t="shared" si="0"/>
        <v>8.0399999999999991</v>
      </c>
      <c r="F26" s="832"/>
      <c r="G26" s="833">
        <v>1.165</v>
      </c>
      <c r="H26" s="833"/>
      <c r="I26" s="577">
        <f t="shared" si="2"/>
        <v>9.3666</v>
      </c>
      <c r="J26" s="578">
        <f t="shared" si="1"/>
        <v>52109.46</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64.14</v>
      </c>
      <c r="D28" s="126">
        <f>SUM(D12:D27)</f>
        <v>0</v>
      </c>
      <c r="E28" s="837">
        <f>SUM(E12:E27)</f>
        <v>128.28</v>
      </c>
      <c r="F28" s="837"/>
      <c r="G28" s="838"/>
      <c r="H28" s="838"/>
      <c r="I28" s="23">
        <f>SUM(I12:I27)</f>
        <v>126.23990000000001</v>
      </c>
      <c r="J28" s="127">
        <f>SUM(J12:J27)</f>
        <v>702313.88</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126.23990000000001</v>
      </c>
      <c r="H33" s="838" t="s">
        <v>45</v>
      </c>
      <c r="I33" s="838"/>
      <c r="J33" s="32">
        <f>SUM(J32,J28)</f>
        <v>702313.88</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452">
        <v>702313.88</v>
      </c>
      <c r="H36" s="223" t="s">
        <v>49</v>
      </c>
      <c r="I36" s="38">
        <v>6.6699999999999995E-2</v>
      </c>
      <c r="J36" s="131">
        <f>ROUND(G36*I36,2)</f>
        <v>46844.34</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452">
        <v>702313.88</v>
      </c>
      <c r="H37" s="223" t="s">
        <v>49</v>
      </c>
      <c r="I37" s="38">
        <v>5.4000000000000003E-3</v>
      </c>
      <c r="J37" s="131">
        <f>ROUND(G37*I37,2)</f>
        <v>3792.49</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50636.829999999994</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73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734">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734">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734">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734">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734">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734">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9.3699999999999992</v>
      </c>
      <c r="D47" s="414">
        <v>0</v>
      </c>
      <c r="E47" s="847">
        <f t="shared" si="7"/>
        <v>18.739999999999998</v>
      </c>
      <c r="F47" s="847"/>
      <c r="G47" s="47" t="s">
        <v>61</v>
      </c>
      <c r="H47" s="223">
        <v>251</v>
      </c>
      <c r="I47" s="136">
        <f>INDEX('[1]111-112-113 ADDITIONAL FUND'!J$1:J$65536,MATCH($A$1,'[1]111-112-113 ADDITIONAL FUND'!A$1:A$65536))</f>
        <v>835</v>
      </c>
      <c r="J47" s="734">
        <f t="shared" si="8"/>
        <v>15647.9</v>
      </c>
      <c r="M47" s="2"/>
      <c r="R47" s="906"/>
      <c r="S47" s="906"/>
      <c r="T47" s="888"/>
      <c r="U47" s="888"/>
      <c r="V47" s="182" t="s">
        <v>61</v>
      </c>
      <c r="W47" s="239">
        <v>251</v>
      </c>
      <c r="X47" s="134">
        <f t="shared" si="9"/>
        <v>835</v>
      </c>
      <c r="Y47" s="269">
        <f t="shared" si="10"/>
        <v>0</v>
      </c>
    </row>
    <row r="48" spans="1:25" ht="15.75" customHeight="1" x14ac:dyDescent="0.25">
      <c r="A48" s="846"/>
      <c r="B48" s="846"/>
      <c r="C48" s="414">
        <v>0.5</v>
      </c>
      <c r="D48" s="414">
        <v>0</v>
      </c>
      <c r="E48" s="847">
        <f t="shared" si="7"/>
        <v>1</v>
      </c>
      <c r="F48" s="847"/>
      <c r="G48" s="47" t="s">
        <v>61</v>
      </c>
      <c r="H48" s="223">
        <v>252</v>
      </c>
      <c r="I48" s="136">
        <f>INDEX('[1]111-112-113 ADDITIONAL FUND'!K$1:K$65536,MATCH($A$1,'[1]111-112-113 ADDITIONAL FUND'!A$1:A$65536))</f>
        <v>3168</v>
      </c>
      <c r="J48" s="734">
        <f t="shared" si="8"/>
        <v>3168</v>
      </c>
      <c r="M48" s="2"/>
      <c r="R48" s="906"/>
      <c r="S48" s="906"/>
      <c r="T48" s="888"/>
      <c r="U48" s="888"/>
      <c r="V48" s="182" t="s">
        <v>61</v>
      </c>
      <c r="W48" s="239">
        <v>252</v>
      </c>
      <c r="X48" s="134">
        <f t="shared" si="9"/>
        <v>3168</v>
      </c>
      <c r="Y48" s="269">
        <f t="shared" si="10"/>
        <v>0</v>
      </c>
    </row>
    <row r="49" spans="1:25" ht="15.75" customHeight="1" thickBot="1" x14ac:dyDescent="0.3">
      <c r="A49" s="846"/>
      <c r="B49" s="846"/>
      <c r="C49" s="414">
        <v>1.01</v>
      </c>
      <c r="D49" s="414">
        <v>0</v>
      </c>
      <c r="E49" s="852">
        <f t="shared" si="7"/>
        <v>2.02</v>
      </c>
      <c r="F49" s="852"/>
      <c r="G49" s="47" t="s">
        <v>61</v>
      </c>
      <c r="H49" s="223">
        <v>253</v>
      </c>
      <c r="I49" s="136">
        <f>INDEX('[1]111-112-113 ADDITIONAL FUND'!L$1:L$65536,MATCH($A$1,'[1]111-112-113 ADDITIONAL FUND'!A$1:A$65536))</f>
        <v>6685</v>
      </c>
      <c r="J49" s="734">
        <f t="shared" si="8"/>
        <v>13503.7</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10.879999999999999</v>
      </c>
      <c r="D50" s="584">
        <f>SUM(D41:D49)</f>
        <v>0</v>
      </c>
      <c r="E50" s="853">
        <f>SUM(E41:E49)</f>
        <v>21.759999999999998</v>
      </c>
      <c r="F50" s="853"/>
      <c r="G50" s="839" t="s">
        <v>63</v>
      </c>
      <c r="H50" s="839"/>
      <c r="I50" s="839"/>
      <c r="J50" s="276">
        <f>SUM(J41:J49)</f>
        <v>32319.600000000002</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128.28</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5.9599999999999996E-4</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126.23990000000001</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5.5099999999999995E-4</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128.28</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6.8900000000000005E-4</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128.28</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5.9699999999999998E-4</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128.28</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6.8999999999999997E-4</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5.9699999999999998E-4</v>
      </c>
      <c r="J68" s="138">
        <f>ROUND(G68*I68,2)</f>
        <v>28232.58</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5.9599999999999996E-4</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6.8999999999999997E-4</v>
      </c>
      <c r="J71" s="138">
        <f>ROUND(G71*I71,2)</f>
        <v>13225.84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6.8900000000000005E-4</v>
      </c>
      <c r="J72" s="138">
        <f>ROUND(G72*I72,2)</f>
        <v>7955.81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5.5099999999999995E-4</v>
      </c>
      <c r="J85" s="138">
        <f>ROUND(G85*I85,2)</f>
        <v>148117.76999999999</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5.5099999999999995E-4</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5.9599999999999996E-4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734">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0</v>
      </c>
      <c r="C91" s="245"/>
      <c r="D91" s="915">
        <f>I6</f>
        <v>1.0355000000000001</v>
      </c>
      <c r="E91" s="915"/>
      <c r="F91" s="915"/>
      <c r="G91" s="122">
        <f>'[1]Detail 2025-26 FEFP Second'!AC3</f>
        <v>915.09</v>
      </c>
      <c r="H91" s="47" t="s">
        <v>68</v>
      </c>
      <c r="I91" s="734">
        <f>ROUND(B91*D91*G91,2)</f>
        <v>0</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126.23990000000001</v>
      </c>
      <c r="C92" s="109"/>
      <c r="D92" s="915">
        <f>I6</f>
        <v>1.0355000000000001</v>
      </c>
      <c r="E92" s="915"/>
      <c r="F92" s="915"/>
      <c r="G92" s="122">
        <f>'[1]Detail 2025-26 FEFP Second'!AD3</f>
        <v>917.3</v>
      </c>
      <c r="H92" s="47" t="s">
        <v>68</v>
      </c>
      <c r="I92" s="734">
        <f>ROUND(B92*D92*G92,2)</f>
        <v>119910.76</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126.23990000000001</v>
      </c>
      <c r="C93" s="109"/>
      <c r="D93" s="109"/>
      <c r="E93" s="867" t="s">
        <v>112</v>
      </c>
      <c r="F93" s="867"/>
      <c r="G93" s="867"/>
      <c r="H93" s="867"/>
      <c r="I93" s="867"/>
      <c r="J93" s="127">
        <f>IF(A1=75,0,I92+I91+I90)</f>
        <v>119910.76</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414">
        <v>22</v>
      </c>
      <c r="D97" s="414">
        <v>22</v>
      </c>
      <c r="E97" s="942">
        <f>(C97+D97)/2</f>
        <v>22</v>
      </c>
      <c r="F97" s="871"/>
      <c r="G97" s="871"/>
      <c r="H97" s="224" t="s">
        <v>117</v>
      </c>
      <c r="I97" s="130">
        <f>IF(A1&gt;67,0,INDEX('[1]Transportation Per Student'!F$1:F$65536,MATCH(A1,'[1]Transportation Per Student'!B$1:B$65536)))</f>
        <v>617</v>
      </c>
      <c r="J97" s="138">
        <f>ROUND(I97*E97,2)</f>
        <v>13574</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1065650.2400000002</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1015013.4100000003</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1015013.4100000003</v>
      </c>
      <c r="J114" s="296">
        <f>ROUND(IF(E28=0,0,IF(E28&gt;250,-(((250/E28)*I114)*IF(H113="H",0.02,0.05)),IF(H113="H",-0.02*I114,-0.05*I114))),2)</f>
        <v>-50750.67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1014899.5700000002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Payments'!R111</f>
        <v>-168223.47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846676.10000000021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84667.61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89F0-6C06-4112-8D33-4BE842CC9078}">
  <dimension ref="A1:Z207"/>
  <sheetViews>
    <sheetView topLeftCell="A102" workbookViewId="0">
      <selection activeCell="H114" sqref="H11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476</v>
      </c>
      <c r="B2" s="102"/>
      <c r="C2" s="102"/>
      <c r="D2" s="102"/>
      <c r="E2" s="100"/>
      <c r="F2" s="100"/>
      <c r="G2" s="100"/>
      <c r="H2" s="100"/>
      <c r="I2" s="100"/>
      <c r="J2" s="100"/>
      <c r="K2" s="6"/>
      <c r="L2" s="6"/>
      <c r="M2" s="6"/>
      <c r="N2" s="6"/>
      <c r="O2" s="6"/>
      <c r="P2" s="6"/>
      <c r="Q2" s="6"/>
      <c r="R2" s="920" t="str">
        <f>Revenue_Estimate_Worksheet_for___________Charter_School</f>
        <v>Revenue Estimate Worksheet: Sports Leadership &amp; Management Middle School (SLAM) - 4090</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Second'!$C$1:$C$65536,MATCH('4090'!$A$1,'[1]Detail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Second'!$D$1:$D$65536,MATCH('4090'!$A$1,'[1]Detail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108.43</v>
      </c>
      <c r="D14" s="414">
        <v>0</v>
      </c>
      <c r="E14" s="832">
        <f t="shared" si="0"/>
        <v>216.86</v>
      </c>
      <c r="F14" s="832"/>
      <c r="G14" s="833">
        <v>1</v>
      </c>
      <c r="H14" s="833"/>
      <c r="I14" s="577">
        <f t="shared" si="2"/>
        <v>216.86</v>
      </c>
      <c r="J14" s="578">
        <f>ROUND(ROUND(ROUND(I14*$E$6,4)*($I$6),2)*(MAX($I$7,1)),2)</f>
        <v>1206463.1599999999</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17.010000000000002</v>
      </c>
      <c r="D15" s="414">
        <v>0</v>
      </c>
      <c r="E15" s="832">
        <f t="shared" si="0"/>
        <v>34.020000000000003</v>
      </c>
      <c r="F15" s="832"/>
      <c r="G15" s="833">
        <v>1</v>
      </c>
      <c r="H15" s="833"/>
      <c r="I15" s="577">
        <f t="shared" si="2"/>
        <v>34.020000000000003</v>
      </c>
      <c r="J15" s="578">
        <f t="shared" si="1"/>
        <v>189264.39</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13.57</v>
      </c>
      <c r="D25" s="414">
        <v>0</v>
      </c>
      <c r="E25" s="832">
        <f t="shared" si="0"/>
        <v>27.14</v>
      </c>
      <c r="F25" s="832"/>
      <c r="G25" s="833">
        <v>1.165</v>
      </c>
      <c r="H25" s="833"/>
      <c r="I25" s="577">
        <f t="shared" si="2"/>
        <v>31.618099999999998</v>
      </c>
      <c r="J25" s="578">
        <f t="shared" si="1"/>
        <v>175901.84</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139.01000000000002</v>
      </c>
      <c r="D28" s="126">
        <f>SUM(D12:D27)</f>
        <v>0</v>
      </c>
      <c r="E28" s="837">
        <f>SUM(E12:E27)</f>
        <v>278.02000000000004</v>
      </c>
      <c r="F28" s="837"/>
      <c r="G28" s="838"/>
      <c r="H28" s="838"/>
      <c r="I28" s="23">
        <f>SUM(I12:I27)</f>
        <v>282.49810000000002</v>
      </c>
      <c r="J28" s="127">
        <f>SUM(J12:J27)</f>
        <v>1571629.39</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282.49810000000002</v>
      </c>
      <c r="H33" s="838" t="s">
        <v>45</v>
      </c>
      <c r="I33" s="838"/>
      <c r="J33" s="32">
        <f>SUM(J32,J28)</f>
        <v>1571629.39</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452">
        <v>1571629.39</v>
      </c>
      <c r="H36" s="223" t="s">
        <v>49</v>
      </c>
      <c r="I36" s="38">
        <v>6.6699999999999995E-2</v>
      </c>
      <c r="J36" s="131">
        <f>ROUND(G36*I36,2)</f>
        <v>104827.68</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452">
        <v>1571629.39</v>
      </c>
      <c r="H37" s="223" t="s">
        <v>49</v>
      </c>
      <c r="I37" s="38">
        <v>5.4000000000000003E-3</v>
      </c>
      <c r="J37" s="131">
        <f>ROUND(G37*I37,2)</f>
        <v>8486.7999999999993</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113314.48</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16.510000000000002</v>
      </c>
      <c r="D44" s="414">
        <v>0</v>
      </c>
      <c r="E44" s="847">
        <f t="shared" si="7"/>
        <v>33.020000000000003</v>
      </c>
      <c r="F44" s="847"/>
      <c r="G44" s="47" t="s">
        <v>60</v>
      </c>
      <c r="H44" s="223">
        <v>251</v>
      </c>
      <c r="I44" s="136">
        <f>INDEX('[1]111-112-113 ADDITIONAL FUND'!G$1:G$65536,MATCH($A$1,'[1]111-112-113 ADDITIONAL FUND'!A$1:A$65536))</f>
        <v>1173</v>
      </c>
      <c r="J44" s="137">
        <f t="shared" si="8"/>
        <v>38732.46</v>
      </c>
      <c r="L44" s="3"/>
      <c r="M44" s="2"/>
      <c r="Q44" s="4"/>
      <c r="R44" s="906"/>
      <c r="S44" s="906"/>
      <c r="T44" s="888"/>
      <c r="U44" s="888"/>
      <c r="V44" s="182" t="s">
        <v>60</v>
      </c>
      <c r="W44" s="239">
        <v>251</v>
      </c>
      <c r="X44" s="134">
        <f t="shared" si="9"/>
        <v>1173</v>
      </c>
      <c r="Y44" s="269">
        <f t="shared" si="10"/>
        <v>0</v>
      </c>
    </row>
    <row r="45" spans="1:25" x14ac:dyDescent="0.25">
      <c r="A45" s="846"/>
      <c r="B45" s="846"/>
      <c r="C45" s="414">
        <v>0.5</v>
      </c>
      <c r="D45" s="414">
        <v>0</v>
      </c>
      <c r="E45" s="847">
        <f t="shared" si="7"/>
        <v>1</v>
      </c>
      <c r="F45" s="847"/>
      <c r="G45" s="47" t="s">
        <v>60</v>
      </c>
      <c r="H45" s="223">
        <v>252</v>
      </c>
      <c r="I45" s="136">
        <f>INDEX('[1]111-112-113 ADDITIONAL FUND'!H$1:H$65536,MATCH($A$1,'[1]111-112-113 ADDITIONAL FUND'!A$1:A$65536))</f>
        <v>3506</v>
      </c>
      <c r="J45" s="46">
        <f t="shared" si="8"/>
        <v>3506</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17.010000000000002</v>
      </c>
      <c r="D50" s="584">
        <f>SUM(D41:D49)</f>
        <v>0</v>
      </c>
      <c r="E50" s="853">
        <f>SUM(E41:E49)</f>
        <v>34.020000000000003</v>
      </c>
      <c r="F50" s="853"/>
      <c r="G50" s="839" t="s">
        <v>63</v>
      </c>
      <c r="H50" s="839"/>
      <c r="I50" s="839"/>
      <c r="J50" s="276">
        <f>SUM(J41:J49)</f>
        <v>42238.46</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278.02000000000004</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1.291E-3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282.49810000000002</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1.2329999999999999E-3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278.02000000000004</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1.493E-3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278.02000000000004</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1.2930000000000001E-3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278.02000000000004</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1.4959999999999999E-3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1.2930000000000001E-3</v>
      </c>
      <c r="J68" s="138">
        <f>ROUND(G68*I68,2)</f>
        <v>61146.94</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1.291E-3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1.4959999999999999E-3</v>
      </c>
      <c r="J71" s="138">
        <f>ROUND(G71*I71,2)</f>
        <v>28675.15</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1.493E-3</v>
      </c>
      <c r="J72" s="138">
        <f>ROUND(G72*I72,2)</f>
        <v>17239.509999999998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1.2329999999999999E-3</v>
      </c>
      <c r="J85" s="138">
        <f>ROUND(G85*I85,2)</f>
        <v>331450.46999999997</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1.2329999999999999E-3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1.291E-3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141">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282.49810000000002</v>
      </c>
      <c r="C91" s="245"/>
      <c r="D91" s="915">
        <f>I6</f>
        <v>1.0355000000000001</v>
      </c>
      <c r="E91" s="915"/>
      <c r="F91" s="915"/>
      <c r="G91" s="122">
        <f>'[1]Detail 2025-26 FEFP Second'!AC3</f>
        <v>915.09</v>
      </c>
      <c r="H91" s="47" t="s">
        <v>68</v>
      </c>
      <c r="I91" s="140">
        <f>ROUND(B91*D91*G91,2)</f>
        <v>267688.33</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282.49810000000002</v>
      </c>
      <c r="C93" s="109"/>
      <c r="D93" s="109"/>
      <c r="E93" s="867" t="s">
        <v>112</v>
      </c>
      <c r="F93" s="867"/>
      <c r="G93" s="867"/>
      <c r="H93" s="867"/>
      <c r="I93" s="867"/>
      <c r="J93" s="127">
        <f>IF(A1=75,0,I92+I91+I90)</f>
        <v>267688.33</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414">
        <v>0</v>
      </c>
      <c r="D97" s="414">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2320068.25</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2206753.77</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2206753.77</v>
      </c>
      <c r="J114" s="296">
        <f>ROUND(IF(E28=0,0,IF(E28&gt;250,-(((250/E28)*I114)*IF(H114="H",0.02,0.05)),IF(H114="H",-0.02*I114,-0.05*I114))),2)</f>
        <v>-99217.4</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2220850.85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Payments'!R112</f>
        <v>-367436.57999999996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1853414.27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185341.43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11120.29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6831-2743-42C3-A705-931D6F2B5962}">
  <dimension ref="A1:Z207"/>
  <sheetViews>
    <sheetView topLeftCell="A100" workbookViewId="0">
      <selection activeCell="L34" sqref="L3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477</v>
      </c>
      <c r="B2" s="102"/>
      <c r="C2" s="102"/>
      <c r="D2" s="102"/>
      <c r="E2" s="100"/>
      <c r="F2" s="100"/>
      <c r="G2" s="100"/>
      <c r="H2" s="100"/>
      <c r="I2" s="100"/>
      <c r="J2" s="100"/>
      <c r="K2" s="6"/>
      <c r="L2" s="6"/>
      <c r="M2" s="6"/>
      <c r="N2" s="6"/>
      <c r="O2" s="6"/>
      <c r="P2" s="6"/>
      <c r="Q2" s="6"/>
      <c r="R2" s="920" t="str">
        <f>Revenue_Estimate_Worksheet_for___________Charter_School</f>
        <v>Revenue Estimate Worksheet: Somerset Academy Lakes - 4091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Second'!$C$1:$C$65536,MATCH('4091'!$A$1,'[1]Detail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Second'!$D$1:$D$65536,MATCH('4091'!$A$1,'[1]Detail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81.99</v>
      </c>
      <c r="D12" s="410">
        <v>0</v>
      </c>
      <c r="E12" s="824">
        <f t="shared" ref="E12:E27" si="0">IF($D$28=0,C12*2,C12+D12)</f>
        <v>163.98</v>
      </c>
      <c r="F12" s="824"/>
      <c r="G12" s="825">
        <v>1.1080000000000001</v>
      </c>
      <c r="H12" s="825"/>
      <c r="I12" s="577">
        <f>ROUND(E12*G12,4)</f>
        <v>181.68979999999999</v>
      </c>
      <c r="J12" s="578">
        <f t="shared" ref="J12:J27" si="1">ROUND(ROUND(ROUND(I12*$E$6,4)*($I$6),2)*(MAX($I$7,1)),2)</f>
        <v>1010799.82</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11</v>
      </c>
      <c r="D13" s="414">
        <v>0</v>
      </c>
      <c r="E13" s="832">
        <f t="shared" si="0"/>
        <v>22</v>
      </c>
      <c r="F13" s="832"/>
      <c r="G13" s="833">
        <v>1.1080000000000001</v>
      </c>
      <c r="H13" s="833"/>
      <c r="I13" s="577">
        <f t="shared" ref="I13:I27" si="2">ROUND(E13*G13,4)</f>
        <v>24.376000000000001</v>
      </c>
      <c r="J13" s="578">
        <f t="shared" si="1"/>
        <v>135611.67000000001</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48.71</v>
      </c>
      <c r="D14" s="414">
        <v>0</v>
      </c>
      <c r="E14" s="832">
        <f t="shared" si="0"/>
        <v>97.42</v>
      </c>
      <c r="F14" s="832"/>
      <c r="G14" s="833">
        <v>1</v>
      </c>
      <c r="H14" s="833"/>
      <c r="I14" s="577">
        <f t="shared" si="2"/>
        <v>97.42</v>
      </c>
      <c r="J14" s="578">
        <f>ROUND(ROUND(ROUND(I14*$E$6,4)*($I$6),2)*(MAX($I$7,1)),2)</f>
        <v>541979.35</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5</v>
      </c>
      <c r="D15" s="414">
        <v>0</v>
      </c>
      <c r="E15" s="832">
        <f t="shared" si="0"/>
        <v>10</v>
      </c>
      <c r="F15" s="832"/>
      <c r="G15" s="833">
        <v>1</v>
      </c>
      <c r="H15" s="833"/>
      <c r="I15" s="577">
        <f t="shared" si="2"/>
        <v>10</v>
      </c>
      <c r="J15" s="578">
        <f t="shared" si="1"/>
        <v>55633.27</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43.75</v>
      </c>
      <c r="D24" s="414">
        <v>0</v>
      </c>
      <c r="E24" s="832">
        <f t="shared" si="0"/>
        <v>87.5</v>
      </c>
      <c r="F24" s="832"/>
      <c r="G24" s="833">
        <v>1.165</v>
      </c>
      <c r="H24" s="833"/>
      <c r="I24" s="577">
        <f t="shared" si="2"/>
        <v>101.9375</v>
      </c>
      <c r="J24" s="578">
        <f t="shared" si="1"/>
        <v>567111.68000000005</v>
      </c>
      <c r="M24" s="2"/>
      <c r="R24" s="756" t="s">
        <v>32</v>
      </c>
      <c r="S24" s="756"/>
      <c r="T24" s="897">
        <f t="shared" si="3"/>
        <v>0</v>
      </c>
      <c r="U24" s="897"/>
      <c r="V24" s="896">
        <v>1</v>
      </c>
      <c r="W24" s="896"/>
      <c r="X24" s="156">
        <f t="shared" si="4"/>
        <v>0</v>
      </c>
      <c r="Y24" s="266">
        <f t="shared" si="6"/>
        <v>0</v>
      </c>
    </row>
    <row r="25" spans="1:25" x14ac:dyDescent="0.25">
      <c r="A25" s="757" t="s">
        <v>33</v>
      </c>
      <c r="B25" s="757"/>
      <c r="C25" s="414">
        <v>9.02</v>
      </c>
      <c r="D25" s="414">
        <v>0</v>
      </c>
      <c r="E25" s="832">
        <f t="shared" si="0"/>
        <v>18.04</v>
      </c>
      <c r="F25" s="832"/>
      <c r="G25" s="833">
        <v>1.165</v>
      </c>
      <c r="H25" s="833"/>
      <c r="I25" s="577">
        <f t="shared" si="2"/>
        <v>21.0166</v>
      </c>
      <c r="J25" s="578">
        <f t="shared" si="1"/>
        <v>116922.22</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199.47</v>
      </c>
      <c r="D28" s="126">
        <f>SUM(D12:D27)</f>
        <v>0</v>
      </c>
      <c r="E28" s="837">
        <f>SUM(E12:E27)</f>
        <v>398.94</v>
      </c>
      <c r="F28" s="837"/>
      <c r="G28" s="838"/>
      <c r="H28" s="838"/>
      <c r="I28" s="23">
        <f>SUM(I12:I27)</f>
        <v>436.43989999999997</v>
      </c>
      <c r="J28" s="127">
        <f>SUM(J12:J27)</f>
        <v>2428058.0100000002</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436.43989999999997</v>
      </c>
      <c r="H33" s="838" t="s">
        <v>45</v>
      </c>
      <c r="I33" s="838"/>
      <c r="J33" s="32">
        <f>SUM(J32,J28)</f>
        <v>2428058.0100000002</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452">
        <v>2428058.0100000002</v>
      </c>
      <c r="H36" s="223" t="s">
        <v>49</v>
      </c>
      <c r="I36" s="38">
        <v>6.6699999999999995E-2</v>
      </c>
      <c r="J36" s="131">
        <f>ROUND(G36*I36,2)</f>
        <v>161951.47</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452">
        <v>2428058.0100000002</v>
      </c>
      <c r="H37" s="223" t="s">
        <v>49</v>
      </c>
      <c r="I37" s="38">
        <v>5.4000000000000003E-3</v>
      </c>
      <c r="J37" s="131">
        <f>ROUND(G37*I37,2)</f>
        <v>13111.51</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175062.98</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9</v>
      </c>
      <c r="D41" s="414">
        <v>0</v>
      </c>
      <c r="E41" s="847">
        <f t="shared" ref="E41:E49" si="7">IF($D$50=0,C41*2,C41+D41)</f>
        <v>18</v>
      </c>
      <c r="F41" s="847"/>
      <c r="G41" s="223" t="s">
        <v>59</v>
      </c>
      <c r="H41" s="223">
        <v>251</v>
      </c>
      <c r="I41" s="136">
        <f>INDEX('[1]111-112-113 ADDITIONAL FUND'!D$1:D$65536,MATCH($A$1,'[1]111-112-113 ADDITIONAL FUND'!A$1:A$65536))</f>
        <v>1047</v>
      </c>
      <c r="J41" s="46">
        <f t="shared" ref="J41:J49" si="8">ROUND(E41*I41,2)</f>
        <v>18846</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2</v>
      </c>
      <c r="D42" s="414">
        <v>0</v>
      </c>
      <c r="E42" s="847">
        <f t="shared" si="7"/>
        <v>4</v>
      </c>
      <c r="F42" s="847"/>
      <c r="G42" s="223" t="s">
        <v>59</v>
      </c>
      <c r="H42" s="223">
        <v>252</v>
      </c>
      <c r="I42" s="136">
        <f>INDEX('[1]111-112-113 ADDITIONAL FUND'!E$1:E$65536,MATCH($A$1,'[1]111-112-113 ADDITIONAL FUND'!A$1:A$65536))</f>
        <v>3380</v>
      </c>
      <c r="J42" s="46">
        <f t="shared" si="8"/>
        <v>13520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4</v>
      </c>
      <c r="D44" s="414">
        <v>0</v>
      </c>
      <c r="E44" s="847">
        <f t="shared" si="7"/>
        <v>8</v>
      </c>
      <c r="F44" s="847"/>
      <c r="G44" s="47" t="s">
        <v>60</v>
      </c>
      <c r="H44" s="223">
        <v>251</v>
      </c>
      <c r="I44" s="136">
        <f>INDEX('[1]111-112-113 ADDITIONAL FUND'!G$1:G$65536,MATCH($A$1,'[1]111-112-113 ADDITIONAL FUND'!A$1:A$65536))</f>
        <v>1173</v>
      </c>
      <c r="J44" s="137">
        <f t="shared" si="8"/>
        <v>9384</v>
      </c>
      <c r="L44" s="3"/>
      <c r="M44" s="2"/>
      <c r="Q44" s="4"/>
      <c r="R44" s="906"/>
      <c r="S44" s="906"/>
      <c r="T44" s="888"/>
      <c r="U44" s="888"/>
      <c r="V44" s="182" t="s">
        <v>60</v>
      </c>
      <c r="W44" s="239">
        <v>251</v>
      </c>
      <c r="X44" s="134">
        <f t="shared" si="9"/>
        <v>1173</v>
      </c>
      <c r="Y44" s="269">
        <f t="shared" si="10"/>
        <v>0</v>
      </c>
    </row>
    <row r="45" spans="1:25" x14ac:dyDescent="0.25">
      <c r="A45" s="846"/>
      <c r="B45" s="846"/>
      <c r="C45" s="414">
        <v>1</v>
      </c>
      <c r="D45" s="414">
        <v>0</v>
      </c>
      <c r="E45" s="847">
        <f t="shared" si="7"/>
        <v>2</v>
      </c>
      <c r="F45" s="847"/>
      <c r="G45" s="47" t="s">
        <v>60</v>
      </c>
      <c r="H45" s="223">
        <v>252</v>
      </c>
      <c r="I45" s="136">
        <f>INDEX('[1]111-112-113 ADDITIONAL FUND'!H$1:H$65536,MATCH($A$1,'[1]111-112-113 ADDITIONAL FUND'!A$1:A$65536))</f>
        <v>3506</v>
      </c>
      <c r="J45" s="46">
        <f t="shared" si="8"/>
        <v>7012</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16</v>
      </c>
      <c r="D50" s="584">
        <f>SUM(D41:D49)</f>
        <v>0</v>
      </c>
      <c r="E50" s="853">
        <f>SUM(E41:E49)</f>
        <v>32</v>
      </c>
      <c r="F50" s="853"/>
      <c r="G50" s="839" t="s">
        <v>63</v>
      </c>
      <c r="H50" s="839"/>
      <c r="I50" s="839"/>
      <c r="J50" s="276">
        <f>SUM(J41:J49)</f>
        <v>48762</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398.94</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1.853E-3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436.43989999999997</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1.905E-3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398.94</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2.1429999999999999E-3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398.94</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1.8550000000000001E-3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398.94</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2.147E-3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1.8550000000000001E-3</v>
      </c>
      <c r="J68" s="138">
        <f>ROUND(G68*I68,2)</f>
        <v>87724.34</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1.853E-3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2.147E-3</v>
      </c>
      <c r="J71" s="138">
        <f>ROUND(G71*I71,2)</f>
        <v>41153.440000000002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2.1429999999999999E-3</v>
      </c>
      <c r="J72" s="138">
        <f>ROUND(G72*I72,2)</f>
        <v>24744.98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1.905E-3</v>
      </c>
      <c r="J85" s="138">
        <f>ROUND(G85*I85,2)</f>
        <v>512095.01</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1.905E-3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1.853E-3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308.00329999999997</v>
      </c>
      <c r="C90" s="245"/>
      <c r="D90" s="915">
        <f>I6</f>
        <v>1.0355000000000001</v>
      </c>
      <c r="E90" s="915"/>
      <c r="F90" s="915"/>
      <c r="G90" s="122">
        <f>'[1]Detail 2025-26 FEFP Second'!AB3</f>
        <v>958.42</v>
      </c>
      <c r="H90" s="47" t="s">
        <v>68</v>
      </c>
      <c r="I90" s="141">
        <f>ROUND(B90*D90*G90,2)</f>
        <v>305676</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128.4366</v>
      </c>
      <c r="C91" s="245"/>
      <c r="D91" s="915">
        <f>I6</f>
        <v>1.0355000000000001</v>
      </c>
      <c r="E91" s="915"/>
      <c r="F91" s="915"/>
      <c r="G91" s="122">
        <f>'[1]Detail 2025-26 FEFP Second'!AC3</f>
        <v>915.09</v>
      </c>
      <c r="H91" s="47" t="s">
        <v>68</v>
      </c>
      <c r="I91" s="140">
        <f>ROUND(B91*D91*G91,2)</f>
        <v>121703.4</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436.43989999999997</v>
      </c>
      <c r="C93" s="109"/>
      <c r="D93" s="109"/>
      <c r="E93" s="867" t="s">
        <v>112</v>
      </c>
      <c r="F93" s="867"/>
      <c r="G93" s="867"/>
      <c r="H93" s="867"/>
      <c r="I93" s="867"/>
      <c r="J93" s="127">
        <f>IF(A1=75,0,I92+I91+I90)</f>
        <v>427379.4</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414">
        <v>0</v>
      </c>
      <c r="D97" s="414">
        <v>1</v>
      </c>
      <c r="E97" s="942">
        <f>(C97+D97)/2</f>
        <v>0.5</v>
      </c>
      <c r="F97" s="871"/>
      <c r="G97" s="871"/>
      <c r="H97" s="224" t="s">
        <v>117</v>
      </c>
      <c r="I97" s="130">
        <f>IF(A1&gt;67,0,INDEX('[1]Transportation Per Student'!F$1:F$65536,MATCH(A1,'[1]Transportation Per Student'!B$1:B$65536)))</f>
        <v>617</v>
      </c>
      <c r="J97" s="138">
        <f>ROUND(I97*E97,2)</f>
        <v>308.5</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3570225.68</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3395162.7</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3395162.7</v>
      </c>
      <c r="J114" s="296">
        <f>ROUND(IF(E28=0,0,IF(E28&gt;250,-(((250/E28)*I114)*IF(H114="H",0.02,0.05)),IF(H114="H",-0.02*I114,-0.05*I114))),2)</f>
        <v>-106380.74</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3463844.94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Payments'!R113</f>
        <v>-574886.89999999991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2888958.04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288895.8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63377.4</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00E-6A42-4D93-8257-16D5E4482675}">
  <dimension ref="A1:Z207"/>
  <sheetViews>
    <sheetView topLeftCell="A102" workbookViewId="0">
      <selection activeCell="X85" sqref="X8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478</v>
      </c>
      <c r="B2" s="102"/>
      <c r="C2" s="102"/>
      <c r="D2" s="102"/>
      <c r="E2" s="100"/>
      <c r="F2" s="100"/>
      <c r="G2" s="100"/>
      <c r="H2" s="100"/>
      <c r="I2" s="100"/>
      <c r="J2" s="100"/>
      <c r="K2" s="6"/>
      <c r="L2" s="6"/>
      <c r="M2" s="6"/>
      <c r="N2" s="6"/>
      <c r="O2" s="6"/>
      <c r="P2" s="6"/>
      <c r="Q2" s="6"/>
      <c r="R2" s="920" t="str">
        <f>Revenue_Estimate_Worksheet_for___________Charter_School</f>
        <v>Revenue Estimate Worksheet: Connections Education Center of the Palm Beaches - 4100</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Second'!$C$1:$C$65536,MATCH('4100'!$A$1,'[1]Detail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Second'!$D$1:$D$65536,MATCH('4100'!$A$1,'[1]Detail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1.5</v>
      </c>
      <c r="D13" s="414">
        <v>0</v>
      </c>
      <c r="E13" s="832">
        <f t="shared" si="0"/>
        <v>3</v>
      </c>
      <c r="F13" s="832"/>
      <c r="G13" s="833">
        <v>1.1080000000000001</v>
      </c>
      <c r="H13" s="833"/>
      <c r="I13" s="577">
        <f t="shared" ref="I13:I27" si="2">ROUND(E13*G13,4)</f>
        <v>3.3239999999999998</v>
      </c>
      <c r="J13" s="578">
        <f t="shared" si="1"/>
        <v>18492.5</v>
      </c>
      <c r="L13" s="21"/>
      <c r="M13" s="2"/>
      <c r="R13" s="756" t="s">
        <v>21</v>
      </c>
      <c r="S13" s="756"/>
      <c r="T13" s="897">
        <f t="shared" ref="T13:T27" si="3">IF($I$111=1,E13,0)</f>
        <v>3</v>
      </c>
      <c r="U13" s="897"/>
      <c r="V13" s="896">
        <v>1</v>
      </c>
      <c r="W13" s="896"/>
      <c r="X13" s="156">
        <f t="shared" ref="X13:X27" si="4">ROUND(T13*V13,4)</f>
        <v>3</v>
      </c>
      <c r="Y13" s="266">
        <f t="shared" ref="Y13" si="5">ROUND(ROUND(ROUND(X13*$E$6,4)*($I$6),2)*(MAX($I$7,1)),2)</f>
        <v>16689.98</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1</v>
      </c>
      <c r="D15" s="414">
        <v>0</v>
      </c>
      <c r="E15" s="832">
        <f t="shared" si="0"/>
        <v>2</v>
      </c>
      <c r="F15" s="832"/>
      <c r="G15" s="833">
        <v>1</v>
      </c>
      <c r="H15" s="833"/>
      <c r="I15" s="577">
        <f t="shared" si="2"/>
        <v>2</v>
      </c>
      <c r="J15" s="578">
        <f t="shared" si="1"/>
        <v>11126.65</v>
      </c>
      <c r="M15" s="2"/>
      <c r="R15" s="756" t="s">
        <v>23</v>
      </c>
      <c r="S15" s="756"/>
      <c r="T15" s="897">
        <f t="shared" si="3"/>
        <v>2</v>
      </c>
      <c r="U15" s="897"/>
      <c r="V15" s="896">
        <v>1</v>
      </c>
      <c r="W15" s="896"/>
      <c r="X15" s="156">
        <f t="shared" si="4"/>
        <v>2</v>
      </c>
      <c r="Y15" s="266">
        <f t="shared" ref="Y15:Y27" si="6">ROUND(ROUND(ROUND(X15*$E$6,4)*($I$6),2)*(MAX($I$7,1)),2)</f>
        <v>11126.65</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12</v>
      </c>
      <c r="D18" s="414">
        <v>0</v>
      </c>
      <c r="E18" s="832">
        <f t="shared" si="0"/>
        <v>24</v>
      </c>
      <c r="F18" s="832"/>
      <c r="G18" s="833">
        <v>3.609</v>
      </c>
      <c r="H18" s="833"/>
      <c r="I18" s="577">
        <f t="shared" si="2"/>
        <v>86.616</v>
      </c>
      <c r="J18" s="578">
        <f t="shared" si="1"/>
        <v>481873.16</v>
      </c>
      <c r="M18" s="2"/>
      <c r="R18" s="756" t="s">
        <v>26</v>
      </c>
      <c r="S18" s="756"/>
      <c r="T18" s="897">
        <f t="shared" si="3"/>
        <v>24</v>
      </c>
      <c r="U18" s="897"/>
      <c r="V18" s="896">
        <v>1</v>
      </c>
      <c r="W18" s="896"/>
      <c r="X18" s="156">
        <f t="shared" si="4"/>
        <v>24</v>
      </c>
      <c r="Y18" s="266">
        <f t="shared" si="6"/>
        <v>133519.85999999999</v>
      </c>
    </row>
    <row r="19" spans="1:25" x14ac:dyDescent="0.25">
      <c r="A19" s="757" t="s">
        <v>27</v>
      </c>
      <c r="B19" s="757"/>
      <c r="C19" s="414">
        <v>7</v>
      </c>
      <c r="D19" s="414">
        <v>0</v>
      </c>
      <c r="E19" s="832">
        <f t="shared" si="0"/>
        <v>14</v>
      </c>
      <c r="F19" s="832"/>
      <c r="G19" s="833">
        <v>3.609</v>
      </c>
      <c r="H19" s="833"/>
      <c r="I19" s="577">
        <f t="shared" si="2"/>
        <v>50.526000000000003</v>
      </c>
      <c r="J19" s="578">
        <f t="shared" si="1"/>
        <v>281092.68</v>
      </c>
      <c r="M19" s="2"/>
      <c r="R19" s="756" t="s">
        <v>27</v>
      </c>
      <c r="S19" s="756"/>
      <c r="T19" s="897">
        <f t="shared" si="3"/>
        <v>14</v>
      </c>
      <c r="U19" s="897"/>
      <c r="V19" s="896">
        <v>1</v>
      </c>
      <c r="W19" s="896"/>
      <c r="X19" s="156">
        <f t="shared" si="4"/>
        <v>14</v>
      </c>
      <c r="Y19" s="266">
        <f t="shared" si="6"/>
        <v>77886.58</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16.5</v>
      </c>
      <c r="D21" s="414">
        <v>0</v>
      </c>
      <c r="E21" s="832">
        <f t="shared" si="0"/>
        <v>33</v>
      </c>
      <c r="F21" s="832"/>
      <c r="G21" s="833">
        <v>6.0640000000000001</v>
      </c>
      <c r="H21" s="833"/>
      <c r="I21" s="577">
        <f t="shared" si="2"/>
        <v>200.11199999999999</v>
      </c>
      <c r="J21" s="578">
        <f t="shared" si="1"/>
        <v>1113288.55</v>
      </c>
      <c r="M21" s="2"/>
      <c r="R21" s="756" t="s">
        <v>29</v>
      </c>
      <c r="S21" s="756"/>
      <c r="T21" s="897">
        <f t="shared" si="3"/>
        <v>33</v>
      </c>
      <c r="U21" s="897"/>
      <c r="V21" s="896">
        <v>1</v>
      </c>
      <c r="W21" s="896"/>
      <c r="X21" s="156">
        <f t="shared" si="4"/>
        <v>33</v>
      </c>
      <c r="Y21" s="266">
        <f t="shared" si="6"/>
        <v>183589.8</v>
      </c>
    </row>
    <row r="22" spans="1:25" ht="15" customHeight="1" x14ac:dyDescent="0.25">
      <c r="A22" s="757" t="s">
        <v>30</v>
      </c>
      <c r="B22" s="757"/>
      <c r="C22" s="414">
        <v>12.5</v>
      </c>
      <c r="D22" s="414">
        <v>0</v>
      </c>
      <c r="E22" s="832">
        <f t="shared" si="0"/>
        <v>25</v>
      </c>
      <c r="F22" s="832"/>
      <c r="G22" s="833">
        <v>6.0640000000000001</v>
      </c>
      <c r="H22" s="833"/>
      <c r="I22" s="577">
        <f t="shared" si="2"/>
        <v>151.6</v>
      </c>
      <c r="J22" s="578">
        <f t="shared" si="1"/>
        <v>843400.42</v>
      </c>
      <c r="M22" s="2"/>
      <c r="R22" s="756" t="s">
        <v>30</v>
      </c>
      <c r="S22" s="756"/>
      <c r="T22" s="897">
        <f t="shared" si="3"/>
        <v>25</v>
      </c>
      <c r="U22" s="897"/>
      <c r="V22" s="896">
        <v>1</v>
      </c>
      <c r="W22" s="896"/>
      <c r="X22" s="156">
        <f t="shared" si="4"/>
        <v>25</v>
      </c>
      <c r="Y22" s="266">
        <f t="shared" si="6"/>
        <v>139083.18</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26">
        <f>SUM(C12:C27)</f>
        <v>50.5</v>
      </c>
      <c r="D28" s="126">
        <f>SUM(D12:D27)</f>
        <v>0</v>
      </c>
      <c r="E28" s="837">
        <f>SUM(E12:E27)</f>
        <v>101</v>
      </c>
      <c r="F28" s="837"/>
      <c r="G28" s="838"/>
      <c r="H28" s="838"/>
      <c r="I28" s="23">
        <f>SUM(I12:I27)</f>
        <v>494.178</v>
      </c>
      <c r="J28" s="127">
        <f>SUM(J12:J27)</f>
        <v>2749273.96</v>
      </c>
      <c r="M28" s="2"/>
      <c r="R28" s="899" t="s">
        <v>36</v>
      </c>
      <c r="S28" s="899"/>
      <c r="T28" s="900">
        <f>SUM(T12:T27)</f>
        <v>101</v>
      </c>
      <c r="U28" s="900"/>
      <c r="V28" s="901"/>
      <c r="W28" s="901"/>
      <c r="X28" s="158">
        <f>SUM(X12:X27)</f>
        <v>101</v>
      </c>
      <c r="Y28" s="266">
        <f>SUM(Y12:Y27)</f>
        <v>561896.05000000005</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494.178</v>
      </c>
      <c r="H33" s="838" t="s">
        <v>45</v>
      </c>
      <c r="I33" s="838"/>
      <c r="J33" s="32">
        <f>SUM(J32,J28)</f>
        <v>2749273.96</v>
      </c>
      <c r="M33" s="2"/>
      <c r="R33" s="854" t="s">
        <v>44</v>
      </c>
      <c r="S33" s="854"/>
      <c r="T33" s="854"/>
      <c r="U33" s="854"/>
      <c r="V33" s="164">
        <f>V32+X28</f>
        <v>101</v>
      </c>
      <c r="W33" s="901" t="s">
        <v>45</v>
      </c>
      <c r="X33" s="901"/>
      <c r="Y33" s="165">
        <f>SUM(Y32,Y28)</f>
        <v>561896.05000000005</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452">
        <v>2749273.96</v>
      </c>
      <c r="H36" s="223" t="s">
        <v>49</v>
      </c>
      <c r="I36" s="38">
        <v>6.6699999999999995E-2</v>
      </c>
      <c r="J36" s="131">
        <f>ROUND(G36*I36,2)</f>
        <v>183376.57</v>
      </c>
      <c r="K36" s="39"/>
      <c r="L36" s="233"/>
      <c r="M36" s="233"/>
      <c r="N36" s="233"/>
      <c r="O36" s="31"/>
      <c r="P36" s="232"/>
      <c r="Q36" s="232"/>
      <c r="R36" s="756" t="s">
        <v>47</v>
      </c>
      <c r="S36" s="756"/>
      <c r="T36" s="756"/>
      <c r="U36" s="253"/>
      <c r="V36" s="172">
        <v>561896.05000000005</v>
      </c>
      <c r="W36" s="239" t="s">
        <v>49</v>
      </c>
      <c r="X36" s="174">
        <v>6.6699999999999995E-2</v>
      </c>
      <c r="Y36" s="266">
        <f>ROUND(V36*X36,2)</f>
        <v>37478.47</v>
      </c>
    </row>
    <row r="37" spans="1:25" ht="20.25" customHeight="1" x14ac:dyDescent="0.25">
      <c r="A37" s="757" t="s">
        <v>50</v>
      </c>
      <c r="B37" s="757"/>
      <c r="C37" s="757"/>
      <c r="D37" s="757"/>
      <c r="E37" s="757"/>
      <c r="F37" s="248" t="s">
        <v>48</v>
      </c>
      <c r="G37" s="452">
        <v>2749273.96</v>
      </c>
      <c r="H37" s="223" t="s">
        <v>49</v>
      </c>
      <c r="I37" s="38">
        <v>5.4000000000000003E-3</v>
      </c>
      <c r="J37" s="131">
        <f>ROUND(G37*I37,2)</f>
        <v>14846.08</v>
      </c>
      <c r="K37" s="39"/>
      <c r="L37" s="233"/>
      <c r="M37" s="233"/>
      <c r="N37" s="233"/>
      <c r="O37" s="31"/>
      <c r="P37" s="232"/>
      <c r="Q37" s="232"/>
      <c r="R37" s="756" t="s">
        <v>50</v>
      </c>
      <c r="S37" s="756"/>
      <c r="T37" s="756"/>
      <c r="U37" s="253"/>
      <c r="V37" s="172">
        <v>561896.05000000005</v>
      </c>
      <c r="W37" s="239" t="s">
        <v>49</v>
      </c>
      <c r="X37" s="174">
        <v>5.4000000000000003E-3</v>
      </c>
      <c r="Y37" s="266">
        <f>ROUND(V37*X37,2)</f>
        <v>3034.24</v>
      </c>
    </row>
    <row r="38" spans="1:25" ht="20.25" customHeight="1" x14ac:dyDescent="0.25">
      <c r="A38" s="841" t="s">
        <v>51</v>
      </c>
      <c r="B38" s="841"/>
      <c r="C38" s="841"/>
      <c r="D38" s="841"/>
      <c r="E38" s="841"/>
      <c r="F38" s="248" t="s">
        <v>52</v>
      </c>
      <c r="G38" s="40"/>
      <c r="H38" s="223"/>
      <c r="I38" s="41"/>
      <c r="J38" s="131">
        <f>SUM(J36:J37)</f>
        <v>198222.65</v>
      </c>
      <c r="K38" s="39"/>
      <c r="L38" s="233"/>
      <c r="M38" s="233"/>
      <c r="N38" s="233"/>
      <c r="O38" s="31"/>
      <c r="P38" s="232"/>
      <c r="Q38" s="232"/>
      <c r="R38" s="758" t="s">
        <v>51</v>
      </c>
      <c r="S38" s="758"/>
      <c r="T38" s="758"/>
      <c r="U38" s="253" t="s">
        <v>52</v>
      </c>
      <c r="V38" s="175"/>
      <c r="W38" s="239"/>
      <c r="X38" s="176"/>
      <c r="Y38" s="157">
        <f>Y36+Y37</f>
        <v>40512.71</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734">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734">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1.5</v>
      </c>
      <c r="D43" s="414">
        <v>0</v>
      </c>
      <c r="E43" s="847">
        <f t="shared" si="7"/>
        <v>3</v>
      </c>
      <c r="F43" s="847"/>
      <c r="G43" s="223" t="s">
        <v>59</v>
      </c>
      <c r="H43" s="223">
        <v>253</v>
      </c>
      <c r="I43" s="136">
        <f>INDEX('[1]111-112-113 ADDITIONAL FUND'!F$1:F$65536,MATCH($A$1,'[1]111-112-113 ADDITIONAL FUND'!A$1:A$65536))</f>
        <v>6896</v>
      </c>
      <c r="J43" s="734">
        <f t="shared" si="8"/>
        <v>20688</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734">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734">
        <f t="shared" si="8"/>
        <v>0</v>
      </c>
      <c r="M45" s="2"/>
      <c r="R45" s="906"/>
      <c r="S45" s="906"/>
      <c r="T45" s="888"/>
      <c r="U45" s="888"/>
      <c r="V45" s="182" t="s">
        <v>60</v>
      </c>
      <c r="W45" s="239">
        <v>252</v>
      </c>
      <c r="X45" s="134">
        <f t="shared" si="9"/>
        <v>3506</v>
      </c>
      <c r="Y45" s="269">
        <f t="shared" si="10"/>
        <v>0</v>
      </c>
    </row>
    <row r="46" spans="1:25" x14ac:dyDescent="0.25">
      <c r="A46" s="846"/>
      <c r="B46" s="846"/>
      <c r="C46" s="414">
        <v>1</v>
      </c>
      <c r="D46" s="414">
        <v>0</v>
      </c>
      <c r="E46" s="847">
        <f t="shared" si="7"/>
        <v>2</v>
      </c>
      <c r="F46" s="847"/>
      <c r="G46" s="47" t="s">
        <v>60</v>
      </c>
      <c r="H46" s="223">
        <v>253</v>
      </c>
      <c r="I46" s="136">
        <f>INDEX('[1]111-112-113 ADDITIONAL FUND'!I$1:I$65536,MATCH($A$1,'[1]111-112-113 ADDITIONAL FUND'!A$1:A$65536))</f>
        <v>7023</v>
      </c>
      <c r="J46" s="734">
        <f t="shared" si="8"/>
        <v>14046</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734">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734">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734">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2.5</v>
      </c>
      <c r="D50" s="584">
        <f>SUM(D41:D49)</f>
        <v>0</v>
      </c>
      <c r="E50" s="853">
        <f>SUM(E41:E49)</f>
        <v>5</v>
      </c>
      <c r="F50" s="853"/>
      <c r="G50" s="839" t="s">
        <v>63</v>
      </c>
      <c r="H50" s="839"/>
      <c r="I50" s="839"/>
      <c r="J50" s="276">
        <f>SUM(J41:J49)</f>
        <v>34734</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101</v>
      </c>
      <c r="U52" s="184" t="s">
        <v>66</v>
      </c>
      <c r="V52" s="185"/>
      <c r="W52" s="186" t="s">
        <v>67</v>
      </c>
      <c r="X52" s="884">
        <f>I53</f>
        <v>215320.92</v>
      </c>
      <c r="Y52" s="884"/>
    </row>
    <row r="53" spans="1:25" ht="16.5" customHeight="1" x14ac:dyDescent="0.25">
      <c r="A53" s="848" t="s">
        <v>65</v>
      </c>
      <c r="B53" s="848"/>
      <c r="C53" s="237"/>
      <c r="D53" s="237"/>
      <c r="E53" s="48">
        <f>E28</f>
        <v>101</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4.6900000000000002E-4</v>
      </c>
      <c r="Y53" s="885"/>
    </row>
    <row r="54" spans="1:25" ht="22.5" customHeight="1" x14ac:dyDescent="0.25">
      <c r="A54" s="237"/>
      <c r="B54" s="230"/>
      <c r="C54" s="230"/>
      <c r="D54" s="230"/>
      <c r="H54" s="53" t="s">
        <v>68</v>
      </c>
      <c r="I54" s="849">
        <f>IFERROR(ROUND(E53/I53,6),0)</f>
        <v>4.6900000000000002E-4</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101</v>
      </c>
      <c r="U55" s="184" t="s">
        <v>66</v>
      </c>
      <c r="V55" s="185"/>
      <c r="W55" s="186" t="s">
        <v>71</v>
      </c>
      <c r="X55" s="884">
        <f>I56</f>
        <v>229051.25000000003</v>
      </c>
      <c r="Y55" s="884"/>
    </row>
    <row r="56" spans="1:25" ht="16.5" customHeight="1" x14ac:dyDescent="0.25">
      <c r="A56" s="848" t="s">
        <v>70</v>
      </c>
      <c r="B56" s="848"/>
      <c r="C56" s="237"/>
      <c r="D56" s="237"/>
      <c r="E56" s="48">
        <f>G33</f>
        <v>494.178</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4.4099999999999999E-4</v>
      </c>
      <c r="Y56" s="885"/>
    </row>
    <row r="57" spans="1:25" ht="18.75" customHeight="1" x14ac:dyDescent="0.25">
      <c r="A57" s="237"/>
      <c r="H57" s="53" t="s">
        <v>68</v>
      </c>
      <c r="I57" s="849">
        <f>IFERROR(ROUND(E56/I56,6),0)</f>
        <v>2.1570000000000001E-3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101</v>
      </c>
      <c r="U58" s="184" t="s">
        <v>66</v>
      </c>
      <c r="V58" s="883" t="s">
        <v>74</v>
      </c>
      <c r="W58" s="883"/>
      <c r="X58" s="884">
        <f>I59</f>
        <v>186156.17</v>
      </c>
      <c r="Y58" s="884"/>
    </row>
    <row r="59" spans="1:25" ht="18.75" customHeight="1" x14ac:dyDescent="0.25">
      <c r="A59" s="848" t="s">
        <v>73</v>
      </c>
      <c r="B59" s="848"/>
      <c r="C59" s="237"/>
      <c r="D59" s="237"/>
      <c r="E59" s="48">
        <f>E28</f>
        <v>101</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5.4299999999999997E-4</v>
      </c>
      <c r="Y59" s="885"/>
    </row>
    <row r="60" spans="1:25" ht="18" customHeight="1" x14ac:dyDescent="0.25">
      <c r="A60" s="237"/>
      <c r="H60" s="53" t="s">
        <v>68</v>
      </c>
      <c r="I60" s="849">
        <f>IFERROR(ROUND(E59/I59,6),0)</f>
        <v>5.4299999999999997E-4</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101</v>
      </c>
      <c r="U61" s="184" t="s">
        <v>66</v>
      </c>
      <c r="V61" s="883" t="s">
        <v>76</v>
      </c>
      <c r="W61" s="883"/>
      <c r="X61" s="884">
        <f>I62</f>
        <v>215016.58000000002</v>
      </c>
      <c r="Y61" s="884"/>
    </row>
    <row r="62" spans="1:25" ht="30.75" customHeight="1" x14ac:dyDescent="0.25">
      <c r="A62" s="848" t="s">
        <v>73</v>
      </c>
      <c r="B62" s="848"/>
      <c r="C62" s="237"/>
      <c r="D62" s="237"/>
      <c r="E62" s="48">
        <f>E28</f>
        <v>101</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4.6999999999999999E-4</v>
      </c>
      <c r="Y62" s="885"/>
    </row>
    <row r="63" spans="1:25" ht="19.5" customHeight="1" x14ac:dyDescent="0.25">
      <c r="A63" s="237"/>
      <c r="H63" s="53" t="s">
        <v>68</v>
      </c>
      <c r="I63" s="849">
        <f>IFERROR(ROUND(E62/I62,6),0)</f>
        <v>4.6999999999999999E-4</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101</v>
      </c>
      <c r="U64" s="184" t="s">
        <v>66</v>
      </c>
      <c r="V64" s="883" t="s">
        <v>165</v>
      </c>
      <c r="W64" s="883"/>
      <c r="X64" s="884">
        <f>I65</f>
        <v>185851.83000000002</v>
      </c>
      <c r="Y64" s="884"/>
    </row>
    <row r="65" spans="1:26" ht="49.5" customHeight="1" x14ac:dyDescent="0.25">
      <c r="A65" s="848" t="s">
        <v>73</v>
      </c>
      <c r="B65" s="848"/>
      <c r="C65" s="237"/>
      <c r="D65" s="237"/>
      <c r="E65" s="48">
        <f>E28</f>
        <v>101</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5.4299999999999997E-4</v>
      </c>
      <c r="Y65" s="885"/>
    </row>
    <row r="66" spans="1:26" ht="19.5" customHeight="1" x14ac:dyDescent="0.25">
      <c r="A66" s="237"/>
      <c r="H66" s="53" t="s">
        <v>68</v>
      </c>
      <c r="I66" s="849">
        <f>IFERROR(ROUND(E65/I65,6),0)</f>
        <v>5.4299999999999997E-4</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4.6999999999999999E-4</v>
      </c>
      <c r="Y67" s="271">
        <f>ROUND(V67*X67,2)</f>
        <v>22226.65</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4.6999999999999999E-4</v>
      </c>
      <c r="J68" s="138">
        <f>ROUND(G68*I68,2)</f>
        <v>22226.65</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4.6900000000000002E-4</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4.6900000000000002E-4</v>
      </c>
      <c r="J70" s="138">
        <f>ROUND(G70*I70,2)</f>
        <v>0</v>
      </c>
      <c r="M70" s="2"/>
      <c r="R70" s="758" t="s">
        <v>167</v>
      </c>
      <c r="S70" s="758"/>
      <c r="T70" s="758"/>
      <c r="U70" s="253"/>
      <c r="V70" s="193">
        <f>G71</f>
        <v>19167881</v>
      </c>
      <c r="W70" s="239" t="s">
        <v>81</v>
      </c>
      <c r="X70" s="176">
        <f>X65</f>
        <v>5.4299999999999997E-4</v>
      </c>
      <c r="Y70" s="266">
        <f t="shared" si="11"/>
        <v>10408.16</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5.4299999999999997E-4</v>
      </c>
      <c r="J71" s="138">
        <f>ROUND(G71*I71,2)</f>
        <v>10408.16</v>
      </c>
      <c r="M71" s="2"/>
      <c r="R71" s="240" t="s">
        <v>168</v>
      </c>
      <c r="S71" s="240"/>
      <c r="T71" s="240"/>
      <c r="U71" s="253"/>
      <c r="V71" s="171">
        <f>G72</f>
        <v>11546889</v>
      </c>
      <c r="W71" s="239" t="s">
        <v>81</v>
      </c>
      <c r="X71" s="176">
        <f>X59</f>
        <v>5.4299999999999997E-4</v>
      </c>
      <c r="Y71" s="266">
        <f t="shared" si="11"/>
        <v>6269.96</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5.4299999999999997E-4</v>
      </c>
      <c r="J72" s="138">
        <f>ROUND(G72*I72,2)</f>
        <v>6269.96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2.1570000000000001E-3</v>
      </c>
      <c r="J85" s="138">
        <f>ROUND(G85*I85,2)</f>
        <v>579836.71</v>
      </c>
      <c r="K85" s="70"/>
      <c r="L85" s="70"/>
      <c r="M85" s="71"/>
      <c r="N85" s="70"/>
      <c r="O85" s="70"/>
      <c r="P85" s="70"/>
      <c r="Q85" s="70"/>
      <c r="R85" s="758" t="s">
        <v>172</v>
      </c>
      <c r="S85" s="758"/>
      <c r="T85" s="758"/>
      <c r="U85" s="253"/>
      <c r="V85" s="171">
        <f>G85</f>
        <v>268816278</v>
      </c>
      <c r="W85" s="239" t="s">
        <v>81</v>
      </c>
      <c r="X85" s="176">
        <f>X56</f>
        <v>4.4099999999999999E-4</v>
      </c>
      <c r="Y85" s="266">
        <f t="shared" ref="Y85:Y87" si="12">ROUND(V85*X85,2)</f>
        <v>118547.98</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2.1570000000000001E-3</v>
      </c>
      <c r="J86" s="138">
        <f>ROUND(G86*I86,2)</f>
        <v>0</v>
      </c>
      <c r="K86" s="70"/>
      <c r="L86" s="71"/>
      <c r="M86" s="76"/>
      <c r="N86" s="76"/>
      <c r="O86" s="76"/>
      <c r="P86" s="76"/>
      <c r="Q86" s="70"/>
      <c r="R86" s="758" t="s">
        <v>173</v>
      </c>
      <c r="S86" s="758"/>
      <c r="T86" s="758"/>
      <c r="U86" s="253"/>
      <c r="V86" s="203">
        <f>G86</f>
        <v>0</v>
      </c>
      <c r="W86" s="239" t="s">
        <v>81</v>
      </c>
      <c r="X86" s="176">
        <f>X56</f>
        <v>4.4099999999999999E-4</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4.6900000000000002E-4</v>
      </c>
      <c r="J87" s="62">
        <f>ROUND(G87*I87,2)</f>
        <v>0</v>
      </c>
      <c r="K87" s="77"/>
      <c r="L87" s="70"/>
      <c r="M87" s="71"/>
      <c r="N87" s="70"/>
      <c r="O87" s="70"/>
      <c r="P87" s="70"/>
      <c r="Q87" s="70"/>
      <c r="R87" s="240" t="s">
        <v>174</v>
      </c>
      <c r="S87" s="240"/>
      <c r="T87" s="240"/>
      <c r="U87" s="253"/>
      <c r="V87" s="203">
        <f>G87</f>
        <v>0</v>
      </c>
      <c r="W87" s="239" t="s">
        <v>81</v>
      </c>
      <c r="X87" s="176">
        <f>X53</f>
        <v>4.6900000000000002E-4</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290.05200000000002</v>
      </c>
      <c r="C90" s="245"/>
      <c r="D90" s="915">
        <f>I6</f>
        <v>1.0355000000000001</v>
      </c>
      <c r="E90" s="915"/>
      <c r="F90" s="915"/>
      <c r="G90" s="122">
        <f>'[1]Detail 2025-26 FEFP Second'!AB3</f>
        <v>958.42</v>
      </c>
      <c r="H90" s="47" t="s">
        <v>68</v>
      </c>
      <c r="I90" s="141">
        <f>ROUND(B90*D90*G90,2)</f>
        <v>287860.34000000003</v>
      </c>
      <c r="J90" s="81"/>
      <c r="K90" s="70"/>
      <c r="L90" s="70"/>
      <c r="M90" s="71"/>
      <c r="N90" s="70"/>
      <c r="O90" s="70"/>
      <c r="P90" s="70"/>
      <c r="Q90" s="70"/>
      <c r="R90" s="238" t="s">
        <v>110</v>
      </c>
      <c r="S90" s="251">
        <f>X12+X13+X18+X21+X24</f>
        <v>60</v>
      </c>
      <c r="T90" s="870">
        <f>X6</f>
        <v>1.0355000000000001</v>
      </c>
      <c r="U90" s="870"/>
      <c r="V90" s="122">
        <f>G90</f>
        <v>958.42</v>
      </c>
      <c r="W90" s="182" t="s">
        <v>68</v>
      </c>
      <c r="X90" s="272">
        <f>ROUND(S90*T90*V90,2)</f>
        <v>59546.63</v>
      </c>
      <c r="Y90" s="205"/>
    </row>
    <row r="91" spans="1:26" ht="21" customHeight="1" x14ac:dyDescent="0.25">
      <c r="A91" s="82" t="s">
        <v>60</v>
      </c>
      <c r="B91" s="245">
        <f>I14+I15+I19+I22+I25</f>
        <v>204.126</v>
      </c>
      <c r="C91" s="245"/>
      <c r="D91" s="915">
        <f>I6</f>
        <v>1.0355000000000001</v>
      </c>
      <c r="E91" s="915"/>
      <c r="F91" s="915"/>
      <c r="G91" s="122">
        <f>'[1]Detail 2025-26 FEFP Second'!AC3</f>
        <v>915.09</v>
      </c>
      <c r="H91" s="47" t="s">
        <v>68</v>
      </c>
      <c r="I91" s="140">
        <f>ROUND(B91*D91*G91,2)</f>
        <v>193424.84</v>
      </c>
      <c r="K91" s="70"/>
      <c r="L91" s="70"/>
      <c r="M91" s="71"/>
      <c r="N91" s="70"/>
      <c r="O91" s="70"/>
      <c r="P91" s="70"/>
      <c r="Q91" s="70"/>
      <c r="R91" s="206" t="s">
        <v>60</v>
      </c>
      <c r="S91" s="251">
        <f>X14+X15+X19+X22+X25</f>
        <v>41</v>
      </c>
      <c r="T91" s="870">
        <f>X6</f>
        <v>1.0355000000000001</v>
      </c>
      <c r="U91" s="870"/>
      <c r="V91" s="122">
        <f>G91</f>
        <v>915.09</v>
      </c>
      <c r="W91" s="182" t="s">
        <v>68</v>
      </c>
      <c r="X91" s="272">
        <f>ROUND(S91*T91*V91,2)</f>
        <v>38850.6</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494.178</v>
      </c>
      <c r="C93" s="109"/>
      <c r="D93" s="109"/>
      <c r="E93" s="867" t="s">
        <v>112</v>
      </c>
      <c r="F93" s="867"/>
      <c r="G93" s="867"/>
      <c r="H93" s="867"/>
      <c r="I93" s="867"/>
      <c r="J93" s="127">
        <f>IF(A1=75,0,I92+I91+I90)</f>
        <v>481285.18000000005</v>
      </c>
      <c r="K93" s="70"/>
      <c r="L93" s="70"/>
      <c r="M93" s="71"/>
      <c r="N93" s="70"/>
      <c r="O93" s="70"/>
      <c r="P93" s="70"/>
      <c r="Q93" s="70"/>
      <c r="R93" s="252" t="s">
        <v>111</v>
      </c>
      <c r="S93" s="210">
        <f>SUM(S90:S92)</f>
        <v>101</v>
      </c>
      <c r="T93" s="874" t="s">
        <v>112</v>
      </c>
      <c r="U93" s="875"/>
      <c r="V93" s="875"/>
      <c r="W93" s="875"/>
      <c r="X93" s="875"/>
      <c r="Y93" s="266">
        <f>IF(R1=75,0,X92+X91+X90)</f>
        <v>98397.23</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414">
        <v>0</v>
      </c>
      <c r="D97" s="414">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3884034.62</v>
      </c>
      <c r="L107" s="575"/>
      <c r="R107" s="758" t="s">
        <v>125</v>
      </c>
      <c r="S107" s="758"/>
      <c r="T107" s="758"/>
      <c r="U107" s="758"/>
      <c r="V107" s="758"/>
      <c r="W107" s="758"/>
      <c r="X107" s="758"/>
      <c r="Y107" s="730">
        <f>SUM(Y106,Y105,Y97,Y96,Y93,Y86,Y85,Y84,Y70,Y69,Y67,Y33,Y71,Y50,Y87,Y83)</f>
        <v>817746.03</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3685811.97</v>
      </c>
      <c r="R109" s="170" t="s">
        <v>180</v>
      </c>
      <c r="S109" s="170"/>
      <c r="T109" s="170"/>
      <c r="U109" s="170"/>
      <c r="V109" s="170"/>
      <c r="W109" s="170"/>
      <c r="X109" s="170"/>
      <c r="Y109" s="731">
        <f>Y107-Y38</f>
        <v>777233.32000000007</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v>1</v>
      </c>
      <c r="J111" s="137">
        <f>Y109</f>
        <v>777233.32000000007</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777233.32000000007</v>
      </c>
      <c r="J114" s="296">
        <f>ROUND(IF(E28=0,0,IF(E28&gt;250,-(((250/E28)*I114)*IF(H114="H",0.02,0.05)),IF(H114="H",-0.02*I114,-0.05*I114))),2)</f>
        <v>-38861.67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3845172.95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Payments'!R114</f>
        <v>-633931.674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3211241.2760000001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321124.13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BD71-9CD4-4C3B-9E05-F48F4DB4F35C}">
  <dimension ref="A1:Z207"/>
  <sheetViews>
    <sheetView workbookViewId="0">
      <selection activeCell="L129" sqref="L12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479</v>
      </c>
      <c r="B2" s="102"/>
      <c r="C2" s="102"/>
      <c r="D2" s="102"/>
      <c r="E2" s="100"/>
      <c r="F2" s="100"/>
      <c r="G2" s="100"/>
      <c r="H2" s="100"/>
      <c r="I2" s="100"/>
      <c r="J2" s="100"/>
      <c r="K2" s="6"/>
      <c r="L2" s="6"/>
      <c r="M2" s="6"/>
      <c r="N2" s="6"/>
      <c r="O2" s="6"/>
      <c r="P2" s="6"/>
      <c r="Q2" s="6"/>
      <c r="R2" s="920" t="str">
        <f>Revenue_Estimate_Worksheet_for___________Charter_School</f>
        <v>Revenue Estimate Worksheet: BridgePrep Academy of PB - 4102</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Second'!$C$1:$C$65536,MATCH('4102'!$A$1,'[1]Detail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Second'!$D$1:$D$65536,MATCH('4102'!$A$1,'[1]Detail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60.5</v>
      </c>
      <c r="D12" s="410">
        <v>0</v>
      </c>
      <c r="E12" s="824">
        <f t="shared" ref="E12:E27" si="0">IF($D$28=0,C12*2,C12+D12)</f>
        <v>121</v>
      </c>
      <c r="F12" s="824"/>
      <c r="G12" s="825">
        <v>1.1080000000000001</v>
      </c>
      <c r="H12" s="825"/>
      <c r="I12" s="577">
        <f>ROUND(E12*G12,4)</f>
        <v>134.06800000000001</v>
      </c>
      <c r="J12" s="578">
        <f t="shared" ref="J12:J27" si="1">ROUND(ROUND(ROUND(I12*$E$6,4)*($I$6),2)*(MAX($I$7,1)),2)</f>
        <v>745864.16</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30</v>
      </c>
      <c r="D14" s="414">
        <v>0</v>
      </c>
      <c r="E14" s="832">
        <f t="shared" si="0"/>
        <v>60</v>
      </c>
      <c r="F14" s="832"/>
      <c r="G14" s="833">
        <v>1</v>
      </c>
      <c r="H14" s="833"/>
      <c r="I14" s="577">
        <f t="shared" si="2"/>
        <v>60</v>
      </c>
      <c r="J14" s="578">
        <f>ROUND(ROUND(ROUND(I14*$E$6,4)*($I$6),2)*(MAX($I$7,1)),2)</f>
        <v>333799.64</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0</v>
      </c>
      <c r="D16" s="414">
        <v>0</v>
      </c>
      <c r="E16" s="832">
        <f t="shared" si="0"/>
        <v>0</v>
      </c>
      <c r="F16" s="832"/>
      <c r="G16" s="833">
        <v>0.97199999999999998</v>
      </c>
      <c r="H16" s="833"/>
      <c r="I16" s="577">
        <f t="shared" si="2"/>
        <v>0</v>
      </c>
      <c r="J16" s="578">
        <f t="shared" si="1"/>
        <v>0</v>
      </c>
      <c r="M16" s="2"/>
      <c r="R16" s="756" t="s">
        <v>24</v>
      </c>
      <c r="S16" s="756"/>
      <c r="T16" s="897">
        <f t="shared" si="3"/>
        <v>0</v>
      </c>
      <c r="U16" s="897"/>
      <c r="V16" s="896">
        <v>1</v>
      </c>
      <c r="W16" s="896"/>
      <c r="X16" s="156">
        <f t="shared" si="4"/>
        <v>0</v>
      </c>
      <c r="Y16" s="266">
        <f t="shared" si="6"/>
        <v>0</v>
      </c>
    </row>
    <row r="17" spans="1:25" x14ac:dyDescent="0.25">
      <c r="A17" s="757" t="s">
        <v>25</v>
      </c>
      <c r="B17" s="757"/>
      <c r="C17" s="414">
        <v>0</v>
      </c>
      <c r="D17" s="414">
        <v>0</v>
      </c>
      <c r="E17" s="832">
        <f t="shared" si="0"/>
        <v>0</v>
      </c>
      <c r="F17" s="832"/>
      <c r="G17" s="833">
        <v>0.97199999999999998</v>
      </c>
      <c r="H17" s="833"/>
      <c r="I17" s="577">
        <f t="shared" si="2"/>
        <v>0</v>
      </c>
      <c r="J17" s="578">
        <f t="shared" si="1"/>
        <v>0</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0</v>
      </c>
      <c r="D26" s="414">
        <v>0</v>
      </c>
      <c r="E26" s="832">
        <f t="shared" si="0"/>
        <v>0</v>
      </c>
      <c r="F26" s="832"/>
      <c r="G26" s="833">
        <v>1.165</v>
      </c>
      <c r="H26" s="833"/>
      <c r="I26" s="577">
        <f t="shared" si="2"/>
        <v>0</v>
      </c>
      <c r="J26" s="578">
        <f t="shared" si="1"/>
        <v>0</v>
      </c>
      <c r="M26" s="2"/>
      <c r="R26" s="756" t="s">
        <v>34</v>
      </c>
      <c r="S26" s="756"/>
      <c r="T26" s="897">
        <f t="shared" si="3"/>
        <v>0</v>
      </c>
      <c r="U26" s="897"/>
      <c r="V26" s="896">
        <v>1</v>
      </c>
      <c r="W26" s="896"/>
      <c r="X26" s="156">
        <f t="shared" si="4"/>
        <v>0</v>
      </c>
      <c r="Y26" s="266">
        <f t="shared" si="6"/>
        <v>0</v>
      </c>
    </row>
    <row r="27" spans="1:25" x14ac:dyDescent="0.25">
      <c r="A27" s="764" t="s">
        <v>35</v>
      </c>
      <c r="B27" s="764"/>
      <c r="C27" s="415">
        <v>0</v>
      </c>
      <c r="D27" s="415">
        <v>0</v>
      </c>
      <c r="E27" s="834">
        <f t="shared" si="0"/>
        <v>0</v>
      </c>
      <c r="F27" s="834"/>
      <c r="G27" s="835">
        <v>1.081</v>
      </c>
      <c r="H27" s="835"/>
      <c r="I27" s="22">
        <f t="shared" si="2"/>
        <v>0</v>
      </c>
      <c r="J27" s="127">
        <f t="shared" si="1"/>
        <v>0</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26">
        <f>SUM(C12:C27)</f>
        <v>90.5</v>
      </c>
      <c r="D28" s="126">
        <f>SUM(D12:D27)</f>
        <v>0</v>
      </c>
      <c r="E28" s="837">
        <f>SUM(E12:E27)</f>
        <v>181</v>
      </c>
      <c r="F28" s="837"/>
      <c r="G28" s="838"/>
      <c r="H28" s="838"/>
      <c r="I28" s="23">
        <f>SUM(I12:I27)</f>
        <v>194.06800000000001</v>
      </c>
      <c r="J28" s="127">
        <f>SUM(J12:J27)</f>
        <v>1079663.8</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194.06800000000001</v>
      </c>
      <c r="H33" s="838" t="s">
        <v>45</v>
      </c>
      <c r="I33" s="838"/>
      <c r="J33" s="32">
        <f>SUM(J32,J28)</f>
        <v>1079663.8</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452">
        <v>845581.24</v>
      </c>
      <c r="H36" s="223" t="s">
        <v>49</v>
      </c>
      <c r="I36" s="38">
        <v>6.6699999999999995E-2</v>
      </c>
      <c r="J36" s="131">
        <f>ROUND(G36*I36,2)</f>
        <v>56400.27</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452">
        <v>845581.24</v>
      </c>
      <c r="H37" s="223" t="s">
        <v>49</v>
      </c>
      <c r="I37" s="38">
        <v>5.4000000000000003E-3</v>
      </c>
      <c r="J37" s="131">
        <f>ROUND(G37*I37,2)</f>
        <v>4566.1400000000003</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60966.409999999996</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46">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0</v>
      </c>
      <c r="D47" s="414">
        <v>0</v>
      </c>
      <c r="E47" s="847">
        <f t="shared" si="7"/>
        <v>0</v>
      </c>
      <c r="F47" s="847"/>
      <c r="G47" s="47" t="s">
        <v>61</v>
      </c>
      <c r="H47" s="223">
        <v>251</v>
      </c>
      <c r="I47" s="136">
        <f>INDEX('[1]111-112-113 ADDITIONAL FUND'!J$1:J$65536,MATCH($A$1,'[1]111-112-113 ADDITIONAL FUND'!A$1:A$65536))</f>
        <v>835</v>
      </c>
      <c r="J47" s="46">
        <f t="shared" si="8"/>
        <v>0</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0</v>
      </c>
      <c r="D50" s="584">
        <f>SUM(D41:D49)</f>
        <v>0</v>
      </c>
      <c r="E50" s="853">
        <f>SUM(E41:E49)</f>
        <v>0</v>
      </c>
      <c r="F50" s="853"/>
      <c r="G50" s="839" t="s">
        <v>63</v>
      </c>
      <c r="H50" s="839"/>
      <c r="I50" s="839"/>
      <c r="J50" s="276">
        <f>SUM(J41:J49)</f>
        <v>0</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181</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8.4099999999999995E-4</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194.06800000000001</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8.4699999999999999E-4</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181</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9.7199999999999999E-4</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181</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8.4199999999999998E-4</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181</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9.7400000000000004E-4</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8.4199999999999998E-4</v>
      </c>
      <c r="J68" s="138">
        <f>ROUND(G68*I68,2)</f>
        <v>39818.81</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8.4099999999999995E-4</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9.7400000000000004E-4</v>
      </c>
      <c r="J71" s="138">
        <f>ROUND(G71*I71,2)</f>
        <v>18669.52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9.7199999999999999E-4</v>
      </c>
      <c r="J72" s="138">
        <f>ROUND(G72*I72,2)</f>
        <v>11223.58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8.4699999999999999E-4</v>
      </c>
      <c r="J85" s="138">
        <f>ROUND(G85*I85,2)</f>
        <v>227687.39</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8.4699999999999999E-4</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8.4099999999999995E-4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134.06800000000001</v>
      </c>
      <c r="C90" s="245"/>
      <c r="D90" s="915">
        <f>I6</f>
        <v>1.0355000000000001</v>
      </c>
      <c r="E90" s="915"/>
      <c r="F90" s="915"/>
      <c r="G90" s="122">
        <f>'[1]Detail 2025-26 FEFP Second'!AB3</f>
        <v>958.42</v>
      </c>
      <c r="H90" s="47" t="s">
        <v>68</v>
      </c>
      <c r="I90" s="141">
        <f>ROUND(B90*D90*G90,2)</f>
        <v>133054.97</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60</v>
      </c>
      <c r="C91" s="245"/>
      <c r="D91" s="915">
        <f>I6</f>
        <v>1.0355000000000001</v>
      </c>
      <c r="E91" s="915"/>
      <c r="F91" s="915"/>
      <c r="G91" s="122">
        <f>'[1]Detail 2025-26 FEFP Second'!AC3</f>
        <v>915.09</v>
      </c>
      <c r="H91" s="47" t="s">
        <v>68</v>
      </c>
      <c r="I91" s="140">
        <f>ROUND(B91*D91*G91,2)</f>
        <v>56854.54</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0</v>
      </c>
      <c r="C92" s="109"/>
      <c r="D92" s="915">
        <f>I6</f>
        <v>1.0355000000000001</v>
      </c>
      <c r="E92" s="915"/>
      <c r="F92" s="915"/>
      <c r="G92" s="122">
        <f>'[1]Detail 2025-26 FEFP Second'!AD3</f>
        <v>917.3</v>
      </c>
      <c r="H92" s="47" t="s">
        <v>68</v>
      </c>
      <c r="I92" s="574">
        <f>ROUND(B92*D92*G92,2)</f>
        <v>0</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194.06800000000001</v>
      </c>
      <c r="C93" s="109"/>
      <c r="D93" s="109"/>
      <c r="E93" s="867" t="s">
        <v>112</v>
      </c>
      <c r="F93" s="867"/>
      <c r="G93" s="867"/>
      <c r="H93" s="867"/>
      <c r="I93" s="867"/>
      <c r="J93" s="127">
        <f>IF(A1=75,0,I92+I91+I90)</f>
        <v>189909.51</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414">
        <v>0</v>
      </c>
      <c r="D97" s="414">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1566972.61</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1506006.2000000002</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v>0</v>
      </c>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1506006.2000000002</v>
      </c>
      <c r="J114" s="296">
        <f>ROUND(IF(E28=0,0,IF(E28&gt;250,-(((250/E28)*I114)*IF(H114="H",0.02,0.05)),IF(H114="H",-0.02*I114,-0.05*I114))),2)</f>
        <v>-75300.31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1491672.3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Payments'!R115</f>
        <v>-193288.14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1298384.1600000001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129838.42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2FD9-020C-4DC7-8DE3-10CC80BC2BB8}">
  <dimension ref="A1:Z207"/>
  <sheetViews>
    <sheetView topLeftCell="A105" workbookViewId="0">
      <selection activeCell="L88" sqref="L88"/>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480</v>
      </c>
      <c r="B2" s="102"/>
      <c r="C2" s="102"/>
      <c r="D2" s="102"/>
      <c r="E2" s="100"/>
      <c r="F2" s="100"/>
      <c r="G2" s="100"/>
      <c r="H2" s="100"/>
      <c r="I2" s="100"/>
      <c r="J2" s="100"/>
      <c r="K2" s="6"/>
      <c r="L2" s="6"/>
      <c r="M2" s="6"/>
      <c r="N2" s="6"/>
      <c r="O2" s="6"/>
      <c r="P2" s="6"/>
      <c r="Q2" s="6"/>
      <c r="R2" s="920" t="str">
        <f>Revenue_Estimate_Worksheet_for___________Charter_School</f>
        <v>Revenue Estimate Worksheet: Sports Leadership &amp; Management (SLAM) MHS (Boca) - 4103</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Second'!$C$1:$C$65536,MATCH('4103'!$A$1,'[1]Detail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Second'!$D$1:$D$65536,MATCH('4103'!$A$1,'[1]Detail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147.03</v>
      </c>
      <c r="D14" s="414">
        <v>0</v>
      </c>
      <c r="E14" s="832">
        <f t="shared" si="0"/>
        <v>294.06</v>
      </c>
      <c r="F14" s="832"/>
      <c r="G14" s="833">
        <v>1</v>
      </c>
      <c r="H14" s="833"/>
      <c r="I14" s="577">
        <f t="shared" si="2"/>
        <v>294.06</v>
      </c>
      <c r="J14" s="578">
        <f>ROUND(ROUND(ROUND(I14*$E$6,4)*($I$6),2)*(MAX($I$7,1)),2)</f>
        <v>1635952.03</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22.5</v>
      </c>
      <c r="D15" s="414">
        <v>0</v>
      </c>
      <c r="E15" s="832">
        <f t="shared" si="0"/>
        <v>45</v>
      </c>
      <c r="F15" s="832"/>
      <c r="G15" s="833">
        <v>1</v>
      </c>
      <c r="H15" s="833"/>
      <c r="I15" s="577">
        <f t="shared" si="2"/>
        <v>45</v>
      </c>
      <c r="J15" s="578">
        <f t="shared" si="1"/>
        <v>250349.73</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189.59</v>
      </c>
      <c r="D16" s="414">
        <v>0</v>
      </c>
      <c r="E16" s="832">
        <f t="shared" si="0"/>
        <v>379.18</v>
      </c>
      <c r="F16" s="832"/>
      <c r="G16" s="833">
        <v>0.97199999999999998</v>
      </c>
      <c r="H16" s="833"/>
      <c r="I16" s="577">
        <f t="shared" si="2"/>
        <v>368.56299999999999</v>
      </c>
      <c r="J16" s="578">
        <f t="shared" si="1"/>
        <v>2050436.6</v>
      </c>
      <c r="M16" s="2"/>
      <c r="R16" s="756" t="s">
        <v>24</v>
      </c>
      <c r="S16" s="756"/>
      <c r="T16" s="897">
        <f t="shared" si="3"/>
        <v>0</v>
      </c>
      <c r="U16" s="897"/>
      <c r="V16" s="896">
        <v>1</v>
      </c>
      <c r="W16" s="896"/>
      <c r="X16" s="156">
        <f t="shared" si="4"/>
        <v>0</v>
      </c>
      <c r="Y16" s="266">
        <f t="shared" si="6"/>
        <v>0</v>
      </c>
    </row>
    <row r="17" spans="1:25" x14ac:dyDescent="0.25">
      <c r="A17" s="757" t="s">
        <v>25</v>
      </c>
      <c r="B17" s="757"/>
      <c r="C17" s="414">
        <v>30.5</v>
      </c>
      <c r="D17" s="414">
        <v>0</v>
      </c>
      <c r="E17" s="832">
        <f t="shared" si="0"/>
        <v>61</v>
      </c>
      <c r="F17" s="832"/>
      <c r="G17" s="833">
        <v>0.97199999999999998</v>
      </c>
      <c r="H17" s="833"/>
      <c r="I17" s="577">
        <f t="shared" si="2"/>
        <v>59.292000000000002</v>
      </c>
      <c r="J17" s="578">
        <f t="shared" si="1"/>
        <v>329860.8</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27.85</v>
      </c>
      <c r="D25" s="414">
        <v>0</v>
      </c>
      <c r="E25" s="832">
        <f t="shared" si="0"/>
        <v>55.7</v>
      </c>
      <c r="F25" s="832"/>
      <c r="G25" s="833">
        <v>1.165</v>
      </c>
      <c r="H25" s="833"/>
      <c r="I25" s="577">
        <f t="shared" si="2"/>
        <v>64.890500000000003</v>
      </c>
      <c r="J25" s="578">
        <f t="shared" si="1"/>
        <v>361007.09</v>
      </c>
      <c r="M25" s="2"/>
      <c r="R25" s="756" t="s">
        <v>33</v>
      </c>
      <c r="S25" s="756"/>
      <c r="T25" s="897">
        <f t="shared" si="3"/>
        <v>0</v>
      </c>
      <c r="U25" s="897"/>
      <c r="V25" s="896">
        <v>1</v>
      </c>
      <c r="W25" s="896"/>
      <c r="X25" s="156">
        <f t="shared" si="4"/>
        <v>0</v>
      </c>
      <c r="Y25" s="266">
        <f t="shared" si="6"/>
        <v>0</v>
      </c>
    </row>
    <row r="26" spans="1:25" x14ac:dyDescent="0.25">
      <c r="A26" s="757" t="s">
        <v>34</v>
      </c>
      <c r="B26" s="757"/>
      <c r="C26" s="414">
        <v>45.26</v>
      </c>
      <c r="D26" s="414">
        <v>0</v>
      </c>
      <c r="E26" s="832">
        <f t="shared" si="0"/>
        <v>90.52</v>
      </c>
      <c r="F26" s="832"/>
      <c r="G26" s="833">
        <v>1.165</v>
      </c>
      <c r="H26" s="833"/>
      <c r="I26" s="577">
        <f t="shared" si="2"/>
        <v>105.4558</v>
      </c>
      <c r="J26" s="578">
        <f t="shared" si="1"/>
        <v>586685.13</v>
      </c>
      <c r="M26" s="2"/>
      <c r="R26" s="756" t="s">
        <v>34</v>
      </c>
      <c r="S26" s="756"/>
      <c r="T26" s="897">
        <f t="shared" si="3"/>
        <v>0</v>
      </c>
      <c r="U26" s="897"/>
      <c r="V26" s="896">
        <v>1</v>
      </c>
      <c r="W26" s="896"/>
      <c r="X26" s="156">
        <f t="shared" si="4"/>
        <v>0</v>
      </c>
      <c r="Y26" s="266">
        <f t="shared" si="6"/>
        <v>0</v>
      </c>
    </row>
    <row r="27" spans="1:25" x14ac:dyDescent="0.25">
      <c r="A27" s="764" t="s">
        <v>35</v>
      </c>
      <c r="B27" s="764"/>
      <c r="C27" s="415">
        <v>24.55</v>
      </c>
      <c r="D27" s="415">
        <v>0</v>
      </c>
      <c r="E27" s="834">
        <f t="shared" si="0"/>
        <v>49.1</v>
      </c>
      <c r="F27" s="834"/>
      <c r="G27" s="835">
        <v>1.081</v>
      </c>
      <c r="H27" s="835"/>
      <c r="I27" s="22">
        <f t="shared" si="2"/>
        <v>53.077100000000002</v>
      </c>
      <c r="J27" s="127">
        <f t="shared" si="1"/>
        <v>295285.28000000003</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487.28000000000003</v>
      </c>
      <c r="D28" s="126">
        <f>SUM(D12:D27)</f>
        <v>0</v>
      </c>
      <c r="E28" s="837">
        <f>SUM(E12:E27)</f>
        <v>974.56000000000006</v>
      </c>
      <c r="F28" s="837"/>
      <c r="G28" s="838"/>
      <c r="H28" s="838"/>
      <c r="I28" s="23">
        <f>SUM(I12:I27)</f>
        <v>990.33839999999998</v>
      </c>
      <c r="J28" s="127">
        <f>SUM(J12:J27)</f>
        <v>5509576.6600000001</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990.33839999999998</v>
      </c>
      <c r="H33" s="838" t="s">
        <v>45</v>
      </c>
      <c r="I33" s="838"/>
      <c r="J33" s="32">
        <f>SUM(J32,J28)</f>
        <v>5509576.6600000001</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452">
        <v>5509576.6600000001</v>
      </c>
      <c r="H36" s="223" t="s">
        <v>49</v>
      </c>
      <c r="I36" s="38">
        <v>6.6699999999999995E-2</v>
      </c>
      <c r="J36" s="131">
        <f>ROUND(G36*I36,2)</f>
        <v>367488.76</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452">
        <v>5509576.6600000001</v>
      </c>
      <c r="H37" s="223" t="s">
        <v>49</v>
      </c>
      <c r="I37" s="38">
        <v>5.4000000000000003E-3</v>
      </c>
      <c r="J37" s="131">
        <f>ROUND(G37*I37,2)</f>
        <v>29751.71</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397240.47000000003</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19</v>
      </c>
      <c r="D44" s="414">
        <v>0</v>
      </c>
      <c r="E44" s="847">
        <f t="shared" si="7"/>
        <v>38</v>
      </c>
      <c r="F44" s="847"/>
      <c r="G44" s="47" t="s">
        <v>60</v>
      </c>
      <c r="H44" s="223">
        <v>251</v>
      </c>
      <c r="I44" s="136">
        <f>INDEX('[1]111-112-113 ADDITIONAL FUND'!G$1:G$65536,MATCH($A$1,'[1]111-112-113 ADDITIONAL FUND'!A$1:A$65536))</f>
        <v>1173</v>
      </c>
      <c r="J44" s="137">
        <f t="shared" si="8"/>
        <v>44574</v>
      </c>
      <c r="L44" s="3"/>
      <c r="M44" s="2"/>
      <c r="Q44" s="4"/>
      <c r="R44" s="906"/>
      <c r="S44" s="906"/>
      <c r="T44" s="888"/>
      <c r="U44" s="888"/>
      <c r="V44" s="182" t="s">
        <v>60</v>
      </c>
      <c r="W44" s="239">
        <v>251</v>
      </c>
      <c r="X44" s="134">
        <f t="shared" si="9"/>
        <v>1173</v>
      </c>
      <c r="Y44" s="269">
        <f t="shared" si="10"/>
        <v>0</v>
      </c>
    </row>
    <row r="45" spans="1:25" x14ac:dyDescent="0.25">
      <c r="A45" s="846"/>
      <c r="B45" s="846"/>
      <c r="C45" s="414">
        <v>3.5</v>
      </c>
      <c r="D45" s="414">
        <v>0</v>
      </c>
      <c r="E45" s="847">
        <f t="shared" si="7"/>
        <v>7</v>
      </c>
      <c r="F45" s="847"/>
      <c r="G45" s="47" t="s">
        <v>60</v>
      </c>
      <c r="H45" s="223">
        <v>252</v>
      </c>
      <c r="I45" s="136">
        <f>INDEX('[1]111-112-113 ADDITIONAL FUND'!H$1:H$65536,MATCH($A$1,'[1]111-112-113 ADDITIONAL FUND'!A$1:A$65536))</f>
        <v>3506</v>
      </c>
      <c r="J45" s="46">
        <f t="shared" si="8"/>
        <v>24542</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25.5</v>
      </c>
      <c r="D47" s="414">
        <v>0</v>
      </c>
      <c r="E47" s="847">
        <f t="shared" si="7"/>
        <v>51</v>
      </c>
      <c r="F47" s="847"/>
      <c r="G47" s="47" t="s">
        <v>61</v>
      </c>
      <c r="H47" s="223">
        <v>251</v>
      </c>
      <c r="I47" s="136">
        <f>INDEX('[1]111-112-113 ADDITIONAL FUND'!J$1:J$65536,MATCH($A$1,'[1]111-112-113 ADDITIONAL FUND'!A$1:A$65536))</f>
        <v>835</v>
      </c>
      <c r="J47" s="46">
        <f t="shared" si="8"/>
        <v>42585</v>
      </c>
      <c r="M47" s="2"/>
      <c r="R47" s="906"/>
      <c r="S47" s="906"/>
      <c r="T47" s="888"/>
      <c r="U47" s="888"/>
      <c r="V47" s="182" t="s">
        <v>61</v>
      </c>
      <c r="W47" s="239">
        <v>251</v>
      </c>
      <c r="X47" s="134">
        <f t="shared" si="9"/>
        <v>835</v>
      </c>
      <c r="Y47" s="269">
        <f t="shared" si="10"/>
        <v>0</v>
      </c>
    </row>
    <row r="48" spans="1:25" ht="15.75" customHeight="1" x14ac:dyDescent="0.25">
      <c r="A48" s="846"/>
      <c r="B48" s="846"/>
      <c r="C48" s="414">
        <v>5</v>
      </c>
      <c r="D48" s="414">
        <v>0</v>
      </c>
      <c r="E48" s="847">
        <f t="shared" si="7"/>
        <v>10</v>
      </c>
      <c r="F48" s="847"/>
      <c r="G48" s="47" t="s">
        <v>61</v>
      </c>
      <c r="H48" s="223">
        <v>252</v>
      </c>
      <c r="I48" s="136">
        <f>INDEX('[1]111-112-113 ADDITIONAL FUND'!K$1:K$65536,MATCH($A$1,'[1]111-112-113 ADDITIONAL FUND'!A$1:A$65536))</f>
        <v>3168</v>
      </c>
      <c r="J48" s="46">
        <f t="shared" si="8"/>
        <v>31680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53</v>
      </c>
      <c r="D50" s="584">
        <f>SUM(D41:D49)</f>
        <v>0</v>
      </c>
      <c r="E50" s="853">
        <f>SUM(E41:E49)</f>
        <v>106</v>
      </c>
      <c r="F50" s="853"/>
      <c r="G50" s="839" t="s">
        <v>63</v>
      </c>
      <c r="H50" s="839"/>
      <c r="I50" s="839"/>
      <c r="J50" s="276">
        <f>SUM(J41:J49)</f>
        <v>143381</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974.56000000000006</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4.5259999999999996E-3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990.33839999999998</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4.3239999999999997E-3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974.56000000000006</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5.2350000000000001E-3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974.56000000000006</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4.5319999999999996E-3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974.56000000000006</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5.2440000000000004E-3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4.5319999999999996E-3</v>
      </c>
      <c r="J68" s="138">
        <f>ROUND(G68*I68,2)</f>
        <v>214321.67</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4.5259999999999996E-3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5.2440000000000004E-3</v>
      </c>
      <c r="J71" s="138">
        <f>ROUND(G71*I71,2)</f>
        <v>100516.37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5.2350000000000001E-3</v>
      </c>
      <c r="J72" s="138">
        <f>ROUND(G72*I72,2)</f>
        <v>60447.96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v>20.32</v>
      </c>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28.9</v>
      </c>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v>0.5</v>
      </c>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v>9.2799999999999994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59</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5.1479999999999998E-3</v>
      </c>
      <c r="J84" s="62">
        <f>ROUND(G84*I84,2)</f>
        <v>325712.55</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4.3239999999999997E-3</v>
      </c>
      <c r="J85" s="138">
        <f>ROUND(G85*I85,2)</f>
        <v>1162361.5900000001</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4.3239999999999997E-3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4.5259999999999996E-3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141">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403.95050000000003</v>
      </c>
      <c r="C91" s="245"/>
      <c r="D91" s="915">
        <f>I6</f>
        <v>1.0355000000000001</v>
      </c>
      <c r="E91" s="915"/>
      <c r="F91" s="915"/>
      <c r="G91" s="122">
        <f>'[1]Detail 2025-26 FEFP Second'!AC3</f>
        <v>915.09</v>
      </c>
      <c r="H91" s="47" t="s">
        <v>68</v>
      </c>
      <c r="I91" s="140">
        <f>ROUND(B91*D91*G91,2)</f>
        <v>382773.68</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586.38789999999995</v>
      </c>
      <c r="C92" s="109"/>
      <c r="D92" s="915">
        <f>I6</f>
        <v>1.0355000000000001</v>
      </c>
      <c r="E92" s="915"/>
      <c r="F92" s="915"/>
      <c r="G92" s="122">
        <f>'[1]Detail 2025-26 FEFP Second'!AD3</f>
        <v>917.3</v>
      </c>
      <c r="H92" s="47" t="s">
        <v>68</v>
      </c>
      <c r="I92" s="574">
        <f>ROUND(B92*D92*G92,2)</f>
        <v>556988.84</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990.33839999999998</v>
      </c>
      <c r="C93" s="109"/>
      <c r="D93" s="109"/>
      <c r="E93" s="867" t="s">
        <v>112</v>
      </c>
      <c r="F93" s="867"/>
      <c r="G93" s="867"/>
      <c r="H93" s="867"/>
      <c r="I93" s="867"/>
      <c r="J93" s="127">
        <f>IF(A1=75,0,I92+I91+I90)</f>
        <v>939762.52</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414">
        <v>0</v>
      </c>
      <c r="D97" s="414">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8456080.3200000003</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8058839.8500000006</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v>0</v>
      </c>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8058839.8500000006</v>
      </c>
      <c r="J114" s="296">
        <f>ROUND(IF(E28=0,0,IF(E28&gt;250,-(((250/E28)*I114)*IF(H113="H",0.02,0.05)),IF(H113="H",-0.02*I114,-0.05*I114))),2)</f>
        <v>-103365.11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8352715.21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Payments'!R116</f>
        <v>-1330711.5699999998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7022003.6400000006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702200.36</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299576.88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6FFD-A0D9-46D3-80B6-7B6479F21159}">
  <dimension ref="A1:Z207"/>
  <sheetViews>
    <sheetView topLeftCell="A102" workbookViewId="0">
      <selection activeCell="J82" sqref="J82"/>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481</v>
      </c>
      <c r="B2" s="102"/>
      <c r="C2" s="102"/>
      <c r="D2" s="102"/>
      <c r="E2" s="100"/>
      <c r="F2" s="100"/>
      <c r="G2" s="100"/>
      <c r="H2" s="100"/>
      <c r="I2" s="100"/>
      <c r="J2" s="100"/>
      <c r="K2" s="6"/>
      <c r="L2" s="6"/>
      <c r="M2" s="6"/>
      <c r="N2" s="6"/>
      <c r="O2" s="6"/>
      <c r="P2" s="6"/>
      <c r="Q2" s="6"/>
      <c r="R2" s="920" t="str">
        <f>Revenue_Estimate_Worksheet_for___________Charter_School</f>
        <v>Revenue Estimate Worksheet: Sports Leadership &amp; Management (SLAM) Academy High School - 4111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Second'!$C$1:$C$65536,MATCH('4111'!$A$1,'[1]Detail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Second'!$D$1:$D$65536,MATCH('4111'!$A$1,'[1]Detail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103.18</v>
      </c>
      <c r="D16" s="414">
        <v>0</v>
      </c>
      <c r="E16" s="832">
        <f t="shared" si="0"/>
        <v>206.36</v>
      </c>
      <c r="F16" s="832"/>
      <c r="G16" s="833">
        <v>0.97199999999999998</v>
      </c>
      <c r="H16" s="833"/>
      <c r="I16" s="577">
        <f t="shared" si="2"/>
        <v>200.58189999999999</v>
      </c>
      <c r="J16" s="578">
        <f t="shared" si="1"/>
        <v>1115902.76</v>
      </c>
      <c r="M16" s="2"/>
      <c r="R16" s="756" t="s">
        <v>24</v>
      </c>
      <c r="S16" s="756"/>
      <c r="T16" s="897">
        <f t="shared" si="3"/>
        <v>0</v>
      </c>
      <c r="U16" s="897"/>
      <c r="V16" s="896">
        <v>1</v>
      </c>
      <c r="W16" s="896"/>
      <c r="X16" s="156">
        <f t="shared" si="4"/>
        <v>0</v>
      </c>
      <c r="Y16" s="266">
        <f t="shared" si="6"/>
        <v>0</v>
      </c>
    </row>
    <row r="17" spans="1:25" x14ac:dyDescent="0.25">
      <c r="A17" s="757" t="s">
        <v>25</v>
      </c>
      <c r="B17" s="757"/>
      <c r="C17" s="414">
        <v>17.920000000000002</v>
      </c>
      <c r="D17" s="414">
        <v>0</v>
      </c>
      <c r="E17" s="832">
        <f t="shared" si="0"/>
        <v>35.840000000000003</v>
      </c>
      <c r="F17" s="832"/>
      <c r="G17" s="833">
        <v>0.97199999999999998</v>
      </c>
      <c r="H17" s="833"/>
      <c r="I17" s="577">
        <f t="shared" si="2"/>
        <v>34.836500000000001</v>
      </c>
      <c r="J17" s="578">
        <f t="shared" si="1"/>
        <v>193806.85</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23.78</v>
      </c>
      <c r="D26" s="414">
        <v>0</v>
      </c>
      <c r="E26" s="832">
        <f t="shared" si="0"/>
        <v>47.56</v>
      </c>
      <c r="F26" s="832"/>
      <c r="G26" s="833">
        <v>1.165</v>
      </c>
      <c r="H26" s="833"/>
      <c r="I26" s="577">
        <f t="shared" si="2"/>
        <v>55.407400000000003</v>
      </c>
      <c r="J26" s="578">
        <f t="shared" si="1"/>
        <v>308249.5</v>
      </c>
      <c r="M26" s="2"/>
      <c r="R26" s="756" t="s">
        <v>34</v>
      </c>
      <c r="S26" s="756"/>
      <c r="T26" s="897">
        <f t="shared" si="3"/>
        <v>0</v>
      </c>
      <c r="U26" s="897"/>
      <c r="V26" s="896">
        <v>1</v>
      </c>
      <c r="W26" s="896"/>
      <c r="X26" s="156">
        <f t="shared" si="4"/>
        <v>0</v>
      </c>
      <c r="Y26" s="266">
        <f t="shared" si="6"/>
        <v>0</v>
      </c>
    </row>
    <row r="27" spans="1:25" x14ac:dyDescent="0.25">
      <c r="A27" s="764" t="s">
        <v>35</v>
      </c>
      <c r="B27" s="764"/>
      <c r="C27" s="415">
        <v>8.64</v>
      </c>
      <c r="D27" s="415">
        <v>0</v>
      </c>
      <c r="E27" s="834">
        <f t="shared" si="0"/>
        <v>17.28</v>
      </c>
      <c r="F27" s="834"/>
      <c r="G27" s="835">
        <v>1.081</v>
      </c>
      <c r="H27" s="835"/>
      <c r="I27" s="22">
        <f t="shared" si="2"/>
        <v>18.6797</v>
      </c>
      <c r="J27" s="127">
        <f t="shared" si="1"/>
        <v>103921.28</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153.51999999999998</v>
      </c>
      <c r="D28" s="126">
        <f>SUM(D12:D27)</f>
        <v>0</v>
      </c>
      <c r="E28" s="837">
        <f>SUM(E12:E27)</f>
        <v>307.03999999999996</v>
      </c>
      <c r="F28" s="837"/>
      <c r="G28" s="838"/>
      <c r="H28" s="838"/>
      <c r="I28" s="23">
        <f>SUM(I12:I27)</f>
        <v>309.50550000000004</v>
      </c>
      <c r="J28" s="127">
        <f>SUM(J12:J27)</f>
        <v>1721880.3900000001</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309.50550000000004</v>
      </c>
      <c r="H33" s="838" t="s">
        <v>45</v>
      </c>
      <c r="I33" s="838"/>
      <c r="J33" s="32">
        <f>SUM(J32,J28)</f>
        <v>1721880.3900000001</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452">
        <v>1721880.3900000001</v>
      </c>
      <c r="H36" s="223" t="s">
        <v>49</v>
      </c>
      <c r="I36" s="38">
        <v>6.6699999999999995E-2</v>
      </c>
      <c r="J36" s="131">
        <f>ROUND(G36*I36,2)</f>
        <v>114849.42</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452">
        <v>1721880.3900000001</v>
      </c>
      <c r="H37" s="223" t="s">
        <v>49</v>
      </c>
      <c r="I37" s="38">
        <v>5.4000000000000003E-3</v>
      </c>
      <c r="J37" s="131">
        <f>ROUND(G37*I37,2)</f>
        <v>9298.15</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124147.56999999999</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46">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17.920000000000002</v>
      </c>
      <c r="D47" s="414">
        <v>0</v>
      </c>
      <c r="E47" s="847">
        <f t="shared" si="7"/>
        <v>35.840000000000003</v>
      </c>
      <c r="F47" s="847"/>
      <c r="G47" s="47" t="s">
        <v>61</v>
      </c>
      <c r="H47" s="223">
        <v>251</v>
      </c>
      <c r="I47" s="136">
        <f>INDEX('[1]111-112-113 ADDITIONAL FUND'!J$1:J$65536,MATCH($A$1,'[1]111-112-113 ADDITIONAL FUND'!A$1:A$65536))</f>
        <v>835</v>
      </c>
      <c r="J47" s="46">
        <f t="shared" si="8"/>
        <v>29926.400000000001</v>
      </c>
      <c r="M47" s="2"/>
      <c r="R47" s="906"/>
      <c r="S47" s="906"/>
      <c r="T47" s="888"/>
      <c r="U47" s="888"/>
      <c r="V47" s="182" t="s">
        <v>61</v>
      </c>
      <c r="W47" s="239">
        <v>251</v>
      </c>
      <c r="X47" s="134">
        <f t="shared" si="9"/>
        <v>835</v>
      </c>
      <c r="Y47" s="269">
        <f t="shared" si="10"/>
        <v>0</v>
      </c>
    </row>
    <row r="48" spans="1:25" ht="15.75" customHeight="1" x14ac:dyDescent="0.25">
      <c r="A48" s="846"/>
      <c r="B48" s="846"/>
      <c r="C48" s="414">
        <v>0</v>
      </c>
      <c r="D48" s="414">
        <v>0</v>
      </c>
      <c r="E48" s="847">
        <f t="shared" si="7"/>
        <v>0</v>
      </c>
      <c r="F48" s="847"/>
      <c r="G48" s="47" t="s">
        <v>61</v>
      </c>
      <c r="H48" s="223">
        <v>252</v>
      </c>
      <c r="I48" s="136">
        <f>INDEX('[1]111-112-113 ADDITIONAL FUND'!K$1:K$65536,MATCH($A$1,'[1]111-112-113 ADDITIONAL FUND'!A$1:A$65536))</f>
        <v>3168</v>
      </c>
      <c r="J48" s="46">
        <f t="shared" si="8"/>
        <v>0</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17.920000000000002</v>
      </c>
      <c r="D50" s="584">
        <f>SUM(D41:D49)</f>
        <v>0</v>
      </c>
      <c r="E50" s="853">
        <f>SUM(E41:E49)</f>
        <v>35.840000000000003</v>
      </c>
      <c r="F50" s="853"/>
      <c r="G50" s="839" t="s">
        <v>63</v>
      </c>
      <c r="H50" s="839"/>
      <c r="I50" s="839"/>
      <c r="J50" s="276">
        <f>SUM(J41:J49)</f>
        <v>29926.400000000001</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307.03999999999996</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1.426E-3</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309.50550000000004</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1.351E-3</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307.03999999999996</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1.6490000000000001E-3</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307.03999999999996</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1.428E-3</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307.03999999999996</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1.652E-3</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1.428E-3</v>
      </c>
      <c r="J68" s="138">
        <f>ROUND(G68*I68,2)</f>
        <v>67531.19</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1.426E-3</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1.652E-3</v>
      </c>
      <c r="J71" s="138">
        <f>ROUND(G71*I71,2)</f>
        <v>31665.34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1.6490000000000001E-3</v>
      </c>
      <c r="J72" s="138">
        <f>ROUND(G72*I72,2)</f>
        <v>19040.82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v>2.72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v>1.84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4.5600000000000005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3.9800000000000002E-4</v>
      </c>
      <c r="J84" s="62">
        <f>ROUND(G84*I84,2)</f>
        <v>25181.35</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1.351E-3</v>
      </c>
      <c r="J85" s="138">
        <f>ROUND(G85*I85,2)</f>
        <v>363170.79</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1.351E-3</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1.426E-3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141">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0</v>
      </c>
      <c r="C91" s="245"/>
      <c r="D91" s="915">
        <f>I6</f>
        <v>1.0355000000000001</v>
      </c>
      <c r="E91" s="915"/>
      <c r="F91" s="915"/>
      <c r="G91" s="122">
        <f>'[1]Detail 2025-26 FEFP Second'!AC3</f>
        <v>915.09</v>
      </c>
      <c r="H91" s="47" t="s">
        <v>68</v>
      </c>
      <c r="I91" s="140">
        <f>ROUND(B91*D91*G91,2)</f>
        <v>0</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309.50550000000004</v>
      </c>
      <c r="C92" s="109"/>
      <c r="D92" s="915">
        <f>I6</f>
        <v>1.0355000000000001</v>
      </c>
      <c r="E92" s="915"/>
      <c r="F92" s="915"/>
      <c r="G92" s="122">
        <f>'[1]Detail 2025-26 FEFP Second'!AD3</f>
        <v>917.3</v>
      </c>
      <c r="H92" s="47" t="s">
        <v>68</v>
      </c>
      <c r="I92" s="574">
        <f>ROUND(B92*D92*G92,2)</f>
        <v>293988.18</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309.50550000000004</v>
      </c>
      <c r="C93" s="109"/>
      <c r="D93" s="109"/>
      <c r="E93" s="867" t="s">
        <v>112</v>
      </c>
      <c r="F93" s="867"/>
      <c r="G93" s="867"/>
      <c r="H93" s="867"/>
      <c r="I93" s="867"/>
      <c r="J93" s="127">
        <f>IF(A1=75,0,I92+I91+I90)</f>
        <v>293988.18</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414">
        <v>0</v>
      </c>
      <c r="D97" s="414">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2552384.46</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2428236.89</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v>0</v>
      </c>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2428236.89</v>
      </c>
      <c r="J114" s="296">
        <f>ROUND(IF(E28=0,0,IF(E28&gt;250,-(((250/E28)*I114)*IF(H113="H",0.02,0.05)),IF(H113="H",-0.02*I114,-0.05*I114))),2)</f>
        <v>-98856.7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2453527.7599999998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Payments'!R117</f>
        <v>-402878.31999999995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2050649.44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205064.94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22555.14</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9111-E801-4F91-9AE4-B755BFDD8FCA}">
  <dimension ref="A1:Z207"/>
  <sheetViews>
    <sheetView workbookViewId="0">
      <selection activeCell="L91" sqref="L91"/>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14" t="s">
        <v>0</v>
      </c>
      <c r="C1" s="815"/>
      <c r="D1" s="815"/>
      <c r="E1" s="816"/>
      <c r="F1" s="816"/>
      <c r="G1" s="816"/>
      <c r="H1" s="816"/>
      <c r="I1" s="816"/>
      <c r="J1" s="816"/>
      <c r="L1" s="3"/>
      <c r="M1" s="2"/>
      <c r="Q1" s="4"/>
      <c r="R1" s="142">
        <v>50</v>
      </c>
      <c r="S1" s="918" t="s">
        <v>0</v>
      </c>
      <c r="T1" s="919"/>
      <c r="U1" s="919"/>
      <c r="V1" s="919"/>
      <c r="W1" s="919"/>
      <c r="X1" s="919"/>
      <c r="Y1" s="919"/>
    </row>
    <row r="2" spans="1:25" ht="21.75" customHeight="1" x14ac:dyDescent="0.35">
      <c r="A2" s="576" t="s">
        <v>482</v>
      </c>
      <c r="B2" s="102"/>
      <c r="C2" s="102"/>
      <c r="D2" s="102"/>
      <c r="E2" s="100"/>
      <c r="F2" s="100"/>
      <c r="G2" s="100"/>
      <c r="H2" s="100"/>
      <c r="I2" s="100"/>
      <c r="J2" s="100"/>
      <c r="K2" s="6"/>
      <c r="L2" s="6"/>
      <c r="M2" s="6"/>
      <c r="N2" s="6"/>
      <c r="O2" s="6"/>
      <c r="P2" s="6"/>
      <c r="Q2" s="6"/>
      <c r="R2" s="920" t="str">
        <f>Revenue_Estimate_Worksheet_for___________Charter_School</f>
        <v>Revenue Estimate Worksheet: Somerset Academy Wellington HS - 4131</v>
      </c>
      <c r="S2" s="920"/>
      <c r="T2" s="920"/>
      <c r="U2" s="920"/>
      <c r="V2" s="920"/>
      <c r="W2" s="920"/>
      <c r="X2" s="920"/>
      <c r="Y2" s="920"/>
    </row>
    <row r="3" spans="1:25" ht="18.75" x14ac:dyDescent="0.3">
      <c r="A3" s="817" t="s">
        <v>1</v>
      </c>
      <c r="B3" s="817"/>
      <c r="C3" s="817"/>
      <c r="D3" s="817"/>
      <c r="E3" s="817"/>
      <c r="F3" s="817"/>
      <c r="G3" s="817"/>
      <c r="H3" s="817"/>
      <c r="I3" s="817"/>
      <c r="J3" s="817"/>
      <c r="K3" s="7"/>
      <c r="L3" s="7"/>
      <c r="M3" s="7"/>
      <c r="N3" s="7"/>
      <c r="O3" s="7"/>
      <c r="P3" s="7"/>
      <c r="Q3" s="7"/>
      <c r="R3" s="855" t="s">
        <v>1</v>
      </c>
      <c r="S3" s="855"/>
      <c r="T3" s="855"/>
      <c r="U3" s="855"/>
      <c r="V3" s="855"/>
      <c r="W3" s="855"/>
      <c r="X3" s="855"/>
      <c r="Y3" s="855"/>
    </row>
    <row r="4" spans="1:25" ht="18.75" customHeight="1" x14ac:dyDescent="0.25">
      <c r="A4" s="818" t="s">
        <v>2</v>
      </c>
      <c r="B4" s="818"/>
      <c r="C4" s="224"/>
      <c r="D4" s="225" t="s">
        <v>183</v>
      </c>
      <c r="E4" s="225"/>
      <c r="H4" s="281" t="s">
        <v>184</v>
      </c>
      <c r="I4" s="282"/>
      <c r="J4" s="8"/>
      <c r="K4" s="4"/>
      <c r="L4" s="4"/>
      <c r="M4" s="4"/>
      <c r="N4" s="4"/>
      <c r="O4" s="4"/>
      <c r="P4" s="4"/>
      <c r="Q4" s="4"/>
      <c r="R4" s="921" t="s">
        <v>2</v>
      </c>
      <c r="S4" s="921"/>
      <c r="T4" s="922" t="s">
        <v>183</v>
      </c>
      <c r="U4" s="922"/>
      <c r="V4" s="143"/>
      <c r="W4" s="143"/>
      <c r="X4" s="143"/>
      <c r="Y4" s="143"/>
    </row>
    <row r="5" spans="1:25" ht="21" customHeight="1" x14ac:dyDescent="0.25">
      <c r="A5" s="819" t="s">
        <v>3</v>
      </c>
      <c r="B5" s="819"/>
      <c r="C5" s="819"/>
      <c r="D5" s="819"/>
      <c r="E5" s="819"/>
      <c r="F5" s="819"/>
      <c r="G5" s="819"/>
      <c r="H5" s="819"/>
      <c r="I5" s="819"/>
      <c r="J5" s="819"/>
      <c r="K5" s="4"/>
      <c r="L5" s="4"/>
      <c r="M5" s="4"/>
      <c r="N5" s="4"/>
      <c r="O5" s="4"/>
      <c r="P5" s="4"/>
      <c r="Q5" s="4"/>
      <c r="R5" s="923" t="s">
        <v>3</v>
      </c>
      <c r="S5" s="923"/>
      <c r="T5" s="923"/>
      <c r="U5" s="923"/>
      <c r="V5" s="923"/>
      <c r="W5" s="923"/>
      <c r="X5" s="923"/>
      <c r="Y5" s="923"/>
    </row>
    <row r="6" spans="1:25" ht="18" customHeight="1" x14ac:dyDescent="0.25">
      <c r="A6" s="826" t="s">
        <v>4</v>
      </c>
      <c r="B6" s="826"/>
      <c r="C6" s="226"/>
      <c r="D6" s="226"/>
      <c r="E6" s="827">
        <v>5372.6</v>
      </c>
      <c r="F6" s="827"/>
      <c r="G6" s="828" t="s">
        <v>5</v>
      </c>
      <c r="H6" s="828"/>
      <c r="I6" s="283">
        <f>INDEX('[1]Detail 2025-26 FEFP Second'!$C$1:$C$65536,MATCH('4131'!$A$1,'[1]Detail 2025-26 FEFP Second'!$A$1:$A$65536,0))</f>
        <v>1.0355000000000001</v>
      </c>
      <c r="J6" s="103"/>
      <c r="M6" s="2"/>
      <c r="R6" s="924" t="s">
        <v>4</v>
      </c>
      <c r="S6" s="924"/>
      <c r="T6" s="925">
        <f>E6</f>
        <v>5372.6</v>
      </c>
      <c r="U6" s="925"/>
      <c r="V6" s="926" t="s">
        <v>5</v>
      </c>
      <c r="W6" s="926"/>
      <c r="X6" s="927">
        <v>1.0355000000000001</v>
      </c>
      <c r="Y6" s="927"/>
    </row>
    <row r="7" spans="1:25" ht="18" customHeight="1" x14ac:dyDescent="0.25">
      <c r="A7" s="226"/>
      <c r="B7" s="226"/>
      <c r="C7" s="226"/>
      <c r="D7" s="226"/>
      <c r="E7" s="227"/>
      <c r="F7" s="227"/>
      <c r="G7" s="228" t="s">
        <v>6</v>
      </c>
      <c r="H7" s="228"/>
      <c r="I7" s="283">
        <f>INDEX('[1]Detail 2025-26 FEFP Second'!$D$1:$D$65536,MATCH('4131'!$A$1,'[1]Detail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29" t="s">
        <v>8</v>
      </c>
      <c r="H9" s="829"/>
      <c r="I9" s="15" t="s">
        <v>9</v>
      </c>
      <c r="J9" s="16" t="s">
        <v>10</v>
      </c>
      <c r="M9" s="2"/>
      <c r="R9" s="262"/>
      <c r="S9" s="262"/>
      <c r="T9" s="148"/>
      <c r="U9" s="148"/>
      <c r="V9" s="928" t="s">
        <v>8</v>
      </c>
      <c r="W9" s="928"/>
      <c r="X9" s="150" t="s">
        <v>9</v>
      </c>
      <c r="Y9" s="151" t="s">
        <v>10</v>
      </c>
    </row>
    <row r="10" spans="1:25" ht="15.75" customHeight="1" x14ac:dyDescent="0.25">
      <c r="A10" s="771" t="s">
        <v>8</v>
      </c>
      <c r="B10" s="771"/>
      <c r="C10" s="113" t="s">
        <v>54</v>
      </c>
      <c r="D10" s="113" t="s">
        <v>54</v>
      </c>
      <c r="E10" s="830" t="s">
        <v>158</v>
      </c>
      <c r="F10" s="830"/>
      <c r="G10" s="831" t="s">
        <v>12</v>
      </c>
      <c r="H10" s="831"/>
      <c r="I10" s="17" t="s">
        <v>13</v>
      </c>
      <c r="J10" s="18" t="s">
        <v>14</v>
      </c>
      <c r="M10" s="2"/>
      <c r="R10" s="768" t="s">
        <v>8</v>
      </c>
      <c r="S10" s="768"/>
      <c r="T10" s="929" t="s">
        <v>11</v>
      </c>
      <c r="U10" s="929"/>
      <c r="V10" s="930" t="s">
        <v>12</v>
      </c>
      <c r="W10" s="930"/>
      <c r="X10" s="152" t="s">
        <v>13</v>
      </c>
      <c r="Y10" s="153" t="s">
        <v>14</v>
      </c>
    </row>
    <row r="11" spans="1:25" ht="14.25" customHeight="1" x14ac:dyDescent="0.25">
      <c r="A11" s="820" t="s">
        <v>15</v>
      </c>
      <c r="B11" s="820"/>
      <c r="C11" s="114"/>
      <c r="D11" s="114"/>
      <c r="E11" s="821" t="s">
        <v>16</v>
      </c>
      <c r="F11" s="821"/>
      <c r="G11" s="822" t="s">
        <v>17</v>
      </c>
      <c r="H11" s="822"/>
      <c r="I11" s="19" t="s">
        <v>18</v>
      </c>
      <c r="J11" s="20" t="s">
        <v>19</v>
      </c>
      <c r="L11" s="21"/>
      <c r="M11" s="2"/>
      <c r="R11" s="931" t="s">
        <v>15</v>
      </c>
      <c r="S11" s="931"/>
      <c r="T11" s="932" t="s">
        <v>16</v>
      </c>
      <c r="U11" s="932"/>
      <c r="V11" s="911" t="s">
        <v>17</v>
      </c>
      <c r="W11" s="911"/>
      <c r="X11" s="154" t="s">
        <v>18</v>
      </c>
      <c r="Y11" s="155" t="s">
        <v>19</v>
      </c>
    </row>
    <row r="12" spans="1:25" x14ac:dyDescent="0.25">
      <c r="A12" s="823" t="s">
        <v>20</v>
      </c>
      <c r="B12" s="823"/>
      <c r="C12" s="414">
        <v>0</v>
      </c>
      <c r="D12" s="410">
        <v>0</v>
      </c>
      <c r="E12" s="824">
        <f t="shared" ref="E12:E27" si="0">IF($D$28=0,C12*2,C12+D12)</f>
        <v>0</v>
      </c>
      <c r="F12" s="824"/>
      <c r="G12" s="825">
        <v>1.1080000000000001</v>
      </c>
      <c r="H12" s="825"/>
      <c r="I12" s="577">
        <f>ROUND(E12*G12,4)</f>
        <v>0</v>
      </c>
      <c r="J12" s="578">
        <f t="shared" ref="J12:J27" si="1">ROUND(ROUND(ROUND(I12*$E$6,4)*($I$6),2)*(MAX($I$7,1)),2)</f>
        <v>0</v>
      </c>
      <c r="L12" s="21"/>
      <c r="M12" s="2"/>
      <c r="R12" s="912" t="s">
        <v>20</v>
      </c>
      <c r="S12" s="912"/>
      <c r="T12" s="897">
        <f>IF($I$111=1,E12,0)</f>
        <v>0</v>
      </c>
      <c r="U12" s="897"/>
      <c r="V12" s="913">
        <v>1</v>
      </c>
      <c r="W12" s="913"/>
      <c r="X12" s="156">
        <f>ROUND(T12*V12,4)</f>
        <v>0</v>
      </c>
      <c r="Y12" s="266">
        <f>ROUND(ROUND(ROUND(X12*$E$6,4)*($I$6),2)*(MAX($I$7,1)),2)</f>
        <v>0</v>
      </c>
    </row>
    <row r="13" spans="1:25" x14ac:dyDescent="0.25">
      <c r="A13" s="757" t="s">
        <v>21</v>
      </c>
      <c r="B13" s="757"/>
      <c r="C13" s="414">
        <v>0</v>
      </c>
      <c r="D13" s="414">
        <v>0</v>
      </c>
      <c r="E13" s="832">
        <f t="shared" si="0"/>
        <v>0</v>
      </c>
      <c r="F13" s="832"/>
      <c r="G13" s="833">
        <v>1.1080000000000001</v>
      </c>
      <c r="H13" s="833"/>
      <c r="I13" s="577">
        <f t="shared" ref="I13:I27" si="2">ROUND(E13*G13,4)</f>
        <v>0</v>
      </c>
      <c r="J13" s="578">
        <f t="shared" si="1"/>
        <v>0</v>
      </c>
      <c r="L13" s="21"/>
      <c r="M13" s="2"/>
      <c r="R13" s="756" t="s">
        <v>21</v>
      </c>
      <c r="S13" s="756"/>
      <c r="T13" s="897">
        <f t="shared" ref="T13:T27" si="3">IF($I$111=1,E13,0)</f>
        <v>0</v>
      </c>
      <c r="U13" s="897"/>
      <c r="V13" s="896">
        <v>1</v>
      </c>
      <c r="W13" s="896"/>
      <c r="X13" s="156">
        <f t="shared" ref="X13:X27" si="4">ROUND(T13*V13,4)</f>
        <v>0</v>
      </c>
      <c r="Y13" s="266">
        <f t="shared" ref="Y13" si="5">ROUND(ROUND(ROUND(X13*$E$6,4)*($I$6),2)*(MAX($I$7,1)),2)</f>
        <v>0</v>
      </c>
    </row>
    <row r="14" spans="1:25" x14ac:dyDescent="0.25">
      <c r="A14" s="757" t="s">
        <v>22</v>
      </c>
      <c r="B14" s="757"/>
      <c r="C14" s="414">
        <v>0</v>
      </c>
      <c r="D14" s="414">
        <v>0</v>
      </c>
      <c r="E14" s="832">
        <f t="shared" si="0"/>
        <v>0</v>
      </c>
      <c r="F14" s="832"/>
      <c r="G14" s="833">
        <v>1</v>
      </c>
      <c r="H14" s="833"/>
      <c r="I14" s="577">
        <f t="shared" si="2"/>
        <v>0</v>
      </c>
      <c r="J14" s="578">
        <f>ROUND(ROUND(ROUND(I14*$E$6,4)*($I$6),2)*(MAX($I$7,1)),2)</f>
        <v>0</v>
      </c>
      <c r="L14" s="21"/>
      <c r="M14" s="2"/>
      <c r="R14" s="756" t="s">
        <v>22</v>
      </c>
      <c r="S14" s="756"/>
      <c r="T14" s="897">
        <f t="shared" si="3"/>
        <v>0</v>
      </c>
      <c r="U14" s="897"/>
      <c r="V14" s="896">
        <v>1</v>
      </c>
      <c r="W14" s="896"/>
      <c r="X14" s="156">
        <f t="shared" si="4"/>
        <v>0</v>
      </c>
      <c r="Y14" s="266">
        <f>ROUND(ROUND(ROUND(X14*$E$6,4)*($I$6),2)*(MAX($I$7,1)),2)</f>
        <v>0</v>
      </c>
    </row>
    <row r="15" spans="1:25" x14ac:dyDescent="0.25">
      <c r="A15" s="757" t="s">
        <v>23</v>
      </c>
      <c r="B15" s="757"/>
      <c r="C15" s="414">
        <v>0</v>
      </c>
      <c r="D15" s="414">
        <v>0</v>
      </c>
      <c r="E15" s="832">
        <f t="shared" si="0"/>
        <v>0</v>
      </c>
      <c r="F15" s="832"/>
      <c r="G15" s="833">
        <v>1</v>
      </c>
      <c r="H15" s="833"/>
      <c r="I15" s="577">
        <f t="shared" si="2"/>
        <v>0</v>
      </c>
      <c r="J15" s="578">
        <f t="shared" si="1"/>
        <v>0</v>
      </c>
      <c r="M15" s="2"/>
      <c r="R15" s="756" t="s">
        <v>23</v>
      </c>
      <c r="S15" s="756"/>
      <c r="T15" s="897">
        <f t="shared" si="3"/>
        <v>0</v>
      </c>
      <c r="U15" s="897"/>
      <c r="V15" s="896">
        <v>1</v>
      </c>
      <c r="W15" s="896"/>
      <c r="X15" s="156">
        <f t="shared" si="4"/>
        <v>0</v>
      </c>
      <c r="Y15" s="266">
        <f t="shared" ref="Y15:Y27" si="6">ROUND(ROUND(ROUND(X15*$E$6,4)*($I$6),2)*(MAX($I$7,1)),2)</f>
        <v>0</v>
      </c>
    </row>
    <row r="16" spans="1:25" x14ac:dyDescent="0.25">
      <c r="A16" s="757" t="s">
        <v>24</v>
      </c>
      <c r="B16" s="757"/>
      <c r="C16" s="414">
        <v>35.590000000000003</v>
      </c>
      <c r="D16" s="414">
        <v>0</v>
      </c>
      <c r="E16" s="832">
        <f t="shared" si="0"/>
        <v>71.180000000000007</v>
      </c>
      <c r="F16" s="832"/>
      <c r="G16" s="833">
        <v>0.97199999999999998</v>
      </c>
      <c r="H16" s="833"/>
      <c r="I16" s="577">
        <f t="shared" si="2"/>
        <v>69.186999999999998</v>
      </c>
      <c r="J16" s="578">
        <f t="shared" si="1"/>
        <v>384909.93</v>
      </c>
      <c r="M16" s="2"/>
      <c r="R16" s="756" t="s">
        <v>24</v>
      </c>
      <c r="S16" s="756"/>
      <c r="T16" s="897">
        <f t="shared" si="3"/>
        <v>0</v>
      </c>
      <c r="U16" s="897"/>
      <c r="V16" s="896">
        <v>1</v>
      </c>
      <c r="W16" s="896"/>
      <c r="X16" s="156">
        <f t="shared" si="4"/>
        <v>0</v>
      </c>
      <c r="Y16" s="266">
        <f t="shared" si="6"/>
        <v>0</v>
      </c>
    </row>
    <row r="17" spans="1:25" x14ac:dyDescent="0.25">
      <c r="A17" s="757" t="s">
        <v>25</v>
      </c>
      <c r="B17" s="757"/>
      <c r="C17" s="414">
        <v>8.27</v>
      </c>
      <c r="D17" s="414">
        <v>0</v>
      </c>
      <c r="E17" s="832">
        <f t="shared" si="0"/>
        <v>16.54</v>
      </c>
      <c r="F17" s="832"/>
      <c r="G17" s="833">
        <v>0.97199999999999998</v>
      </c>
      <c r="H17" s="833"/>
      <c r="I17" s="577">
        <f t="shared" si="2"/>
        <v>16.076899999999998</v>
      </c>
      <c r="J17" s="578">
        <f t="shared" si="1"/>
        <v>89441.06</v>
      </c>
      <c r="M17" s="2"/>
      <c r="R17" s="756" t="s">
        <v>25</v>
      </c>
      <c r="S17" s="756"/>
      <c r="T17" s="897">
        <f t="shared" si="3"/>
        <v>0</v>
      </c>
      <c r="U17" s="897"/>
      <c r="V17" s="896">
        <v>1</v>
      </c>
      <c r="W17" s="896"/>
      <c r="X17" s="156">
        <f t="shared" si="4"/>
        <v>0</v>
      </c>
      <c r="Y17" s="266">
        <f t="shared" si="6"/>
        <v>0</v>
      </c>
    </row>
    <row r="18" spans="1:25" x14ac:dyDescent="0.25">
      <c r="A18" s="757" t="s">
        <v>26</v>
      </c>
      <c r="B18" s="757"/>
      <c r="C18" s="414">
        <v>0</v>
      </c>
      <c r="D18" s="414">
        <v>0</v>
      </c>
      <c r="E18" s="832">
        <f t="shared" si="0"/>
        <v>0</v>
      </c>
      <c r="F18" s="832"/>
      <c r="G18" s="833">
        <v>3.609</v>
      </c>
      <c r="H18" s="833"/>
      <c r="I18" s="577">
        <f t="shared" si="2"/>
        <v>0</v>
      </c>
      <c r="J18" s="578">
        <f t="shared" si="1"/>
        <v>0</v>
      </c>
      <c r="M18" s="2"/>
      <c r="R18" s="756" t="s">
        <v>26</v>
      </c>
      <c r="S18" s="756"/>
      <c r="T18" s="897">
        <f t="shared" si="3"/>
        <v>0</v>
      </c>
      <c r="U18" s="897"/>
      <c r="V18" s="896">
        <v>1</v>
      </c>
      <c r="W18" s="896"/>
      <c r="X18" s="156">
        <f t="shared" si="4"/>
        <v>0</v>
      </c>
      <c r="Y18" s="266">
        <f t="shared" si="6"/>
        <v>0</v>
      </c>
    </row>
    <row r="19" spans="1:25" x14ac:dyDescent="0.25">
      <c r="A19" s="757" t="s">
        <v>27</v>
      </c>
      <c r="B19" s="757"/>
      <c r="C19" s="414">
        <v>0</v>
      </c>
      <c r="D19" s="414">
        <v>0</v>
      </c>
      <c r="E19" s="832">
        <f t="shared" si="0"/>
        <v>0</v>
      </c>
      <c r="F19" s="832"/>
      <c r="G19" s="833">
        <v>3.609</v>
      </c>
      <c r="H19" s="833"/>
      <c r="I19" s="577">
        <f t="shared" si="2"/>
        <v>0</v>
      </c>
      <c r="J19" s="578">
        <f t="shared" si="1"/>
        <v>0</v>
      </c>
      <c r="M19" s="2"/>
      <c r="R19" s="756" t="s">
        <v>27</v>
      </c>
      <c r="S19" s="756"/>
      <c r="T19" s="897">
        <f t="shared" si="3"/>
        <v>0</v>
      </c>
      <c r="U19" s="897"/>
      <c r="V19" s="896">
        <v>1</v>
      </c>
      <c r="W19" s="896"/>
      <c r="X19" s="156">
        <f t="shared" si="4"/>
        <v>0</v>
      </c>
      <c r="Y19" s="266">
        <f t="shared" si="6"/>
        <v>0</v>
      </c>
    </row>
    <row r="20" spans="1:25" x14ac:dyDescent="0.25">
      <c r="A20" s="757" t="s">
        <v>28</v>
      </c>
      <c r="B20" s="757"/>
      <c r="C20" s="414">
        <v>0</v>
      </c>
      <c r="D20" s="414">
        <v>0</v>
      </c>
      <c r="E20" s="832">
        <f t="shared" si="0"/>
        <v>0</v>
      </c>
      <c r="F20" s="832"/>
      <c r="G20" s="833">
        <v>3.609</v>
      </c>
      <c r="H20" s="833"/>
      <c r="I20" s="577">
        <f t="shared" si="2"/>
        <v>0</v>
      </c>
      <c r="J20" s="578">
        <f t="shared" si="1"/>
        <v>0</v>
      </c>
      <c r="M20" s="2"/>
      <c r="R20" s="756" t="s">
        <v>28</v>
      </c>
      <c r="S20" s="756"/>
      <c r="T20" s="897">
        <f t="shared" si="3"/>
        <v>0</v>
      </c>
      <c r="U20" s="897"/>
      <c r="V20" s="896">
        <v>1</v>
      </c>
      <c r="W20" s="896"/>
      <c r="X20" s="156">
        <f t="shared" si="4"/>
        <v>0</v>
      </c>
      <c r="Y20" s="266">
        <f t="shared" si="6"/>
        <v>0</v>
      </c>
    </row>
    <row r="21" spans="1:25" ht="15" customHeight="1" x14ac:dyDescent="0.25">
      <c r="A21" s="757" t="s">
        <v>29</v>
      </c>
      <c r="B21" s="757"/>
      <c r="C21" s="414">
        <v>0</v>
      </c>
      <c r="D21" s="414">
        <v>0</v>
      </c>
      <c r="E21" s="832">
        <f t="shared" si="0"/>
        <v>0</v>
      </c>
      <c r="F21" s="832"/>
      <c r="G21" s="833">
        <v>6.0640000000000001</v>
      </c>
      <c r="H21" s="833"/>
      <c r="I21" s="577">
        <f t="shared" si="2"/>
        <v>0</v>
      </c>
      <c r="J21" s="578">
        <f t="shared" si="1"/>
        <v>0</v>
      </c>
      <c r="M21" s="2"/>
      <c r="R21" s="756" t="s">
        <v>29</v>
      </c>
      <c r="S21" s="756"/>
      <c r="T21" s="897">
        <f t="shared" si="3"/>
        <v>0</v>
      </c>
      <c r="U21" s="897"/>
      <c r="V21" s="896">
        <v>1</v>
      </c>
      <c r="W21" s="896"/>
      <c r="X21" s="156">
        <f t="shared" si="4"/>
        <v>0</v>
      </c>
      <c r="Y21" s="266">
        <f t="shared" si="6"/>
        <v>0</v>
      </c>
    </row>
    <row r="22" spans="1:25" ht="15" customHeight="1" x14ac:dyDescent="0.25">
      <c r="A22" s="757" t="s">
        <v>30</v>
      </c>
      <c r="B22" s="757"/>
      <c r="C22" s="414">
        <v>0</v>
      </c>
      <c r="D22" s="414">
        <v>0</v>
      </c>
      <c r="E22" s="832">
        <f t="shared" si="0"/>
        <v>0</v>
      </c>
      <c r="F22" s="832"/>
      <c r="G22" s="833">
        <v>6.0640000000000001</v>
      </c>
      <c r="H22" s="833"/>
      <c r="I22" s="577">
        <f t="shared" si="2"/>
        <v>0</v>
      </c>
      <c r="J22" s="578">
        <f t="shared" si="1"/>
        <v>0</v>
      </c>
      <c r="M22" s="2"/>
      <c r="R22" s="756" t="s">
        <v>30</v>
      </c>
      <c r="S22" s="756"/>
      <c r="T22" s="897">
        <f t="shared" si="3"/>
        <v>0</v>
      </c>
      <c r="U22" s="897"/>
      <c r="V22" s="896">
        <v>1</v>
      </c>
      <c r="W22" s="896"/>
      <c r="X22" s="156">
        <f t="shared" si="4"/>
        <v>0</v>
      </c>
      <c r="Y22" s="266">
        <f t="shared" si="6"/>
        <v>0</v>
      </c>
    </row>
    <row r="23" spans="1:25" ht="15" customHeight="1" x14ac:dyDescent="0.25">
      <c r="A23" s="757" t="s">
        <v>31</v>
      </c>
      <c r="B23" s="757"/>
      <c r="C23" s="414">
        <v>0</v>
      </c>
      <c r="D23" s="414">
        <v>0</v>
      </c>
      <c r="E23" s="832">
        <f t="shared" si="0"/>
        <v>0</v>
      </c>
      <c r="F23" s="832"/>
      <c r="G23" s="833">
        <v>6.0640000000000001</v>
      </c>
      <c r="H23" s="833"/>
      <c r="I23" s="577">
        <f t="shared" si="2"/>
        <v>0</v>
      </c>
      <c r="J23" s="578">
        <f t="shared" si="1"/>
        <v>0</v>
      </c>
      <c r="M23" s="2"/>
      <c r="R23" s="756" t="s">
        <v>31</v>
      </c>
      <c r="S23" s="756"/>
      <c r="T23" s="897">
        <f t="shared" si="3"/>
        <v>0</v>
      </c>
      <c r="U23" s="897"/>
      <c r="V23" s="896">
        <v>1</v>
      </c>
      <c r="W23" s="896"/>
      <c r="X23" s="156">
        <f t="shared" si="4"/>
        <v>0</v>
      </c>
      <c r="Y23" s="266">
        <f t="shared" si="6"/>
        <v>0</v>
      </c>
    </row>
    <row r="24" spans="1:25" x14ac:dyDescent="0.25">
      <c r="A24" s="757" t="s">
        <v>32</v>
      </c>
      <c r="B24" s="757"/>
      <c r="C24" s="414">
        <v>0</v>
      </c>
      <c r="D24" s="414">
        <v>0</v>
      </c>
      <c r="E24" s="832">
        <f t="shared" si="0"/>
        <v>0</v>
      </c>
      <c r="F24" s="832"/>
      <c r="G24" s="833">
        <v>1.165</v>
      </c>
      <c r="H24" s="833"/>
      <c r="I24" s="577">
        <f t="shared" si="2"/>
        <v>0</v>
      </c>
      <c r="J24" s="578">
        <f t="shared" si="1"/>
        <v>0</v>
      </c>
      <c r="M24" s="2"/>
      <c r="R24" s="756" t="s">
        <v>32</v>
      </c>
      <c r="S24" s="756"/>
      <c r="T24" s="897">
        <f t="shared" si="3"/>
        <v>0</v>
      </c>
      <c r="U24" s="897"/>
      <c r="V24" s="896">
        <v>1</v>
      </c>
      <c r="W24" s="896"/>
      <c r="X24" s="156">
        <f t="shared" si="4"/>
        <v>0</v>
      </c>
      <c r="Y24" s="266">
        <f t="shared" si="6"/>
        <v>0</v>
      </c>
    </row>
    <row r="25" spans="1:25" x14ac:dyDescent="0.25">
      <c r="A25" s="757" t="s">
        <v>33</v>
      </c>
      <c r="B25" s="757"/>
      <c r="C25" s="414">
        <v>0</v>
      </c>
      <c r="D25" s="414">
        <v>0</v>
      </c>
      <c r="E25" s="832">
        <f t="shared" si="0"/>
        <v>0</v>
      </c>
      <c r="F25" s="832"/>
      <c r="G25" s="833">
        <v>1.165</v>
      </c>
      <c r="H25" s="833"/>
      <c r="I25" s="577">
        <f t="shared" si="2"/>
        <v>0</v>
      </c>
      <c r="J25" s="578">
        <f t="shared" si="1"/>
        <v>0</v>
      </c>
      <c r="M25" s="2"/>
      <c r="R25" s="756" t="s">
        <v>33</v>
      </c>
      <c r="S25" s="756"/>
      <c r="T25" s="897">
        <f t="shared" si="3"/>
        <v>0</v>
      </c>
      <c r="U25" s="897"/>
      <c r="V25" s="896">
        <v>1</v>
      </c>
      <c r="W25" s="896"/>
      <c r="X25" s="156">
        <f t="shared" si="4"/>
        <v>0</v>
      </c>
      <c r="Y25" s="266">
        <f t="shared" si="6"/>
        <v>0</v>
      </c>
    </row>
    <row r="26" spans="1:25" x14ac:dyDescent="0.25">
      <c r="A26" s="757" t="s">
        <v>34</v>
      </c>
      <c r="B26" s="757"/>
      <c r="C26" s="414">
        <v>4.28</v>
      </c>
      <c r="D26" s="414">
        <v>0</v>
      </c>
      <c r="E26" s="832">
        <f t="shared" si="0"/>
        <v>8.56</v>
      </c>
      <c r="F26" s="832"/>
      <c r="G26" s="833">
        <v>1.165</v>
      </c>
      <c r="H26" s="833"/>
      <c r="I26" s="577">
        <f t="shared" si="2"/>
        <v>9.9724000000000004</v>
      </c>
      <c r="J26" s="578">
        <f t="shared" si="1"/>
        <v>55479.73</v>
      </c>
      <c r="M26" s="2"/>
      <c r="R26" s="756" t="s">
        <v>34</v>
      </c>
      <c r="S26" s="756"/>
      <c r="T26" s="897">
        <f t="shared" si="3"/>
        <v>0</v>
      </c>
      <c r="U26" s="897"/>
      <c r="V26" s="896">
        <v>1</v>
      </c>
      <c r="W26" s="896"/>
      <c r="X26" s="156">
        <f t="shared" si="4"/>
        <v>0</v>
      </c>
      <c r="Y26" s="266">
        <f t="shared" si="6"/>
        <v>0</v>
      </c>
    </row>
    <row r="27" spans="1:25" x14ac:dyDescent="0.25">
      <c r="A27" s="764" t="s">
        <v>35</v>
      </c>
      <c r="B27" s="764"/>
      <c r="C27" s="415">
        <v>3.37</v>
      </c>
      <c r="D27" s="415">
        <v>0</v>
      </c>
      <c r="E27" s="834">
        <f t="shared" si="0"/>
        <v>6.74</v>
      </c>
      <c r="F27" s="834"/>
      <c r="G27" s="835">
        <v>1.081</v>
      </c>
      <c r="H27" s="835"/>
      <c r="I27" s="22">
        <f t="shared" si="2"/>
        <v>7.2858999999999998</v>
      </c>
      <c r="J27" s="127">
        <f t="shared" si="1"/>
        <v>40533.85</v>
      </c>
      <c r="M27" s="2"/>
      <c r="R27" s="763" t="s">
        <v>35</v>
      </c>
      <c r="S27" s="763"/>
      <c r="T27" s="897">
        <f t="shared" si="3"/>
        <v>0</v>
      </c>
      <c r="U27" s="897"/>
      <c r="V27" s="898">
        <v>1</v>
      </c>
      <c r="W27" s="898"/>
      <c r="X27" s="156">
        <f t="shared" si="4"/>
        <v>0</v>
      </c>
      <c r="Y27" s="266">
        <f t="shared" si="6"/>
        <v>0</v>
      </c>
    </row>
    <row r="28" spans="1:25" ht="20.25" customHeight="1" x14ac:dyDescent="0.25">
      <c r="A28" s="836" t="s">
        <v>36</v>
      </c>
      <c r="B28" s="836"/>
      <c r="C28" s="106">
        <f>SUM(C12:C27)</f>
        <v>51.51</v>
      </c>
      <c r="D28" s="126">
        <f>SUM(D12:D27)</f>
        <v>0</v>
      </c>
      <c r="E28" s="837">
        <f>SUM(E12:E27)</f>
        <v>103.02</v>
      </c>
      <c r="F28" s="837"/>
      <c r="G28" s="838"/>
      <c r="H28" s="838"/>
      <c r="I28" s="23">
        <f>SUM(I12:I27)</f>
        <v>102.5222</v>
      </c>
      <c r="J28" s="127">
        <f>SUM(J12:J27)</f>
        <v>570364.56999999995</v>
      </c>
      <c r="M28" s="2"/>
      <c r="R28" s="899" t="s">
        <v>36</v>
      </c>
      <c r="S28" s="899"/>
      <c r="T28" s="900">
        <f>SUM(T12:T27)</f>
        <v>0</v>
      </c>
      <c r="U28" s="900"/>
      <c r="V28" s="901"/>
      <c r="W28" s="901"/>
      <c r="X28" s="158">
        <f>SUM(X12:X27)</f>
        <v>0</v>
      </c>
      <c r="Y28" s="266">
        <f>SUM(Y12:Y27)</f>
        <v>0</v>
      </c>
    </row>
    <row r="29" spans="1:25" ht="36" hidden="1" customHeight="1" x14ac:dyDescent="0.25">
      <c r="A29" s="817" t="s">
        <v>37</v>
      </c>
      <c r="B29" s="817"/>
      <c r="C29" s="817"/>
      <c r="D29" s="817"/>
      <c r="E29" s="817"/>
      <c r="F29" s="817"/>
      <c r="G29" s="817"/>
      <c r="H29" s="817"/>
      <c r="I29" s="817"/>
      <c r="J29" s="24"/>
      <c r="M29" s="2"/>
      <c r="R29" s="855" t="s">
        <v>37</v>
      </c>
      <c r="S29" s="855"/>
      <c r="T29" s="855"/>
      <c r="U29" s="855"/>
      <c r="V29" s="855"/>
      <c r="W29" s="855"/>
      <c r="X29" s="855"/>
      <c r="Y29" s="159"/>
    </row>
    <row r="30" spans="1:25" ht="56.25" hidden="1" customHeight="1" x14ac:dyDescent="0.25">
      <c r="A30" s="771" t="s">
        <v>38</v>
      </c>
      <c r="B30" s="771"/>
      <c r="C30" s="229"/>
      <c r="D30" s="229"/>
      <c r="E30" s="772" t="s">
        <v>39</v>
      </c>
      <c r="F30" s="773"/>
      <c r="G30" s="773"/>
      <c r="H30" s="773"/>
      <c r="I30" s="773"/>
      <c r="J30" s="18" t="s">
        <v>40</v>
      </c>
      <c r="L30" s="25"/>
      <c r="M30" s="25"/>
      <c r="R30" s="256" t="s">
        <v>38</v>
      </c>
      <c r="S30" s="256"/>
      <c r="T30" s="769" t="s">
        <v>162</v>
      </c>
      <c r="U30" s="770"/>
      <c r="V30" s="770"/>
      <c r="W30" s="770"/>
      <c r="X30" s="770"/>
      <c r="Y30" s="153" t="s">
        <v>40</v>
      </c>
    </row>
    <row r="31" spans="1:25" ht="20.25" hidden="1" customHeight="1" x14ac:dyDescent="0.25">
      <c r="A31" s="762" t="s">
        <v>41</v>
      </c>
      <c r="B31" s="762"/>
      <c r="C31" s="236"/>
      <c r="D31" s="236"/>
      <c r="E31" s="26"/>
      <c r="F31" s="26"/>
      <c r="G31" s="26"/>
      <c r="H31" s="26"/>
      <c r="I31" s="27"/>
      <c r="J31" s="28">
        <f>ROUND(ROUND(ROUND(I31*$E$6,4)*($I$6),0)*(MAX($I$7,1)),0)</f>
        <v>0</v>
      </c>
      <c r="M31" s="2"/>
      <c r="R31" s="756" t="s">
        <v>41</v>
      </c>
      <c r="S31" s="756"/>
      <c r="T31" s="902">
        <f>IF('[1]All charter school calculator'!X109=1,'[1]All charter school calculator'!X31,0)</f>
        <v>0</v>
      </c>
      <c r="U31" s="902"/>
      <c r="V31" s="902"/>
      <c r="W31" s="902"/>
      <c r="X31" s="902"/>
      <c r="Y31" s="161">
        <f>J31</f>
        <v>0</v>
      </c>
    </row>
    <row r="32" spans="1:25" ht="20.25" hidden="1" customHeight="1" thickBot="1" x14ac:dyDescent="0.3">
      <c r="A32" s="839" t="s">
        <v>42</v>
      </c>
      <c r="B32" s="839"/>
      <c r="C32" s="839"/>
      <c r="D32" s="839"/>
      <c r="E32" s="839"/>
      <c r="F32" s="839"/>
      <c r="G32" s="29">
        <f>SUM(I31:I31)</f>
        <v>0</v>
      </c>
      <c r="H32" s="842" t="s">
        <v>43</v>
      </c>
      <c r="I32" s="842"/>
      <c r="J32" s="30">
        <f>SUM(J31:J31)</f>
        <v>0</v>
      </c>
      <c r="M32" s="2"/>
      <c r="R32" s="854" t="s">
        <v>42</v>
      </c>
      <c r="S32" s="854"/>
      <c r="T32" s="854"/>
      <c r="U32" s="854"/>
      <c r="V32" s="162">
        <f>SUM(T31:V31)</f>
        <v>0</v>
      </c>
      <c r="W32" s="901" t="s">
        <v>43</v>
      </c>
      <c r="X32" s="901"/>
      <c r="Y32" s="163">
        <f>SUM(Y31:Y31)</f>
        <v>0</v>
      </c>
    </row>
    <row r="33" spans="1:25" ht="20.25" hidden="1" customHeight="1" thickBot="1" x14ac:dyDescent="0.3">
      <c r="A33" s="839" t="s">
        <v>44</v>
      </c>
      <c r="B33" s="839"/>
      <c r="C33" s="839"/>
      <c r="D33" s="839"/>
      <c r="E33" s="839"/>
      <c r="F33" s="839"/>
      <c r="G33" s="31">
        <f>G32+I28</f>
        <v>102.5222</v>
      </c>
      <c r="H33" s="838" t="s">
        <v>45</v>
      </c>
      <c r="I33" s="838"/>
      <c r="J33" s="32">
        <f>SUM(J32,J28)</f>
        <v>570364.56999999995</v>
      </c>
      <c r="M33" s="2"/>
      <c r="R33" s="854" t="s">
        <v>44</v>
      </c>
      <c r="S33" s="854"/>
      <c r="T33" s="854"/>
      <c r="U33" s="854"/>
      <c r="V33" s="164">
        <f>V32+X28</f>
        <v>0</v>
      </c>
      <c r="W33" s="901" t="s">
        <v>45</v>
      </c>
      <c r="X33" s="901"/>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40" t="s">
        <v>46</v>
      </c>
      <c r="B35" s="840"/>
      <c r="C35" s="840"/>
      <c r="D35" s="840"/>
      <c r="E35" s="840"/>
      <c r="F35" s="840"/>
      <c r="G35" s="248"/>
      <c r="J35" s="267"/>
      <c r="M35" s="2"/>
      <c r="R35" s="886" t="s">
        <v>46</v>
      </c>
      <c r="S35" s="758"/>
      <c r="T35" s="758"/>
      <c r="U35" s="758"/>
      <c r="V35" s="253"/>
      <c r="W35" s="170"/>
      <c r="X35" s="170"/>
      <c r="Y35" s="268"/>
    </row>
    <row r="36" spans="1:25" ht="20.25" customHeight="1" x14ac:dyDescent="0.25">
      <c r="A36" s="757" t="s">
        <v>47</v>
      </c>
      <c r="B36" s="757"/>
      <c r="C36" s="757"/>
      <c r="D36" s="757"/>
      <c r="E36" s="757"/>
      <c r="F36" s="248" t="s">
        <v>48</v>
      </c>
      <c r="G36" s="452">
        <v>570364.56999999995</v>
      </c>
      <c r="H36" s="223" t="s">
        <v>49</v>
      </c>
      <c r="I36" s="38">
        <v>6.6699999999999995E-2</v>
      </c>
      <c r="J36" s="131">
        <f>ROUND(G36*I36,2)</f>
        <v>38043.32</v>
      </c>
      <c r="K36" s="39"/>
      <c r="L36" s="233"/>
      <c r="M36" s="233"/>
      <c r="N36" s="233"/>
      <c r="O36" s="31"/>
      <c r="P36" s="232"/>
      <c r="Q36" s="232"/>
      <c r="R36" s="756" t="s">
        <v>47</v>
      </c>
      <c r="S36" s="756"/>
      <c r="T36" s="756"/>
      <c r="U36" s="253"/>
      <c r="V36" s="172">
        <v>0</v>
      </c>
      <c r="W36" s="239" t="s">
        <v>49</v>
      </c>
      <c r="X36" s="174">
        <v>6.6699999999999995E-2</v>
      </c>
      <c r="Y36" s="266">
        <f>ROUND(V36*X36,2)</f>
        <v>0</v>
      </c>
    </row>
    <row r="37" spans="1:25" ht="20.25" customHeight="1" x14ac:dyDescent="0.25">
      <c r="A37" s="757" t="s">
        <v>50</v>
      </c>
      <c r="B37" s="757"/>
      <c r="C37" s="757"/>
      <c r="D37" s="757"/>
      <c r="E37" s="757"/>
      <c r="F37" s="248" t="s">
        <v>48</v>
      </c>
      <c r="G37" s="452">
        <v>570364.56999999995</v>
      </c>
      <c r="H37" s="223" t="s">
        <v>49</v>
      </c>
      <c r="I37" s="38">
        <v>5.4000000000000003E-3</v>
      </c>
      <c r="J37" s="131">
        <f>ROUND(G37*I37,2)</f>
        <v>3079.97</v>
      </c>
      <c r="K37" s="39"/>
      <c r="L37" s="233"/>
      <c r="M37" s="233"/>
      <c r="N37" s="233"/>
      <c r="O37" s="31"/>
      <c r="P37" s="232"/>
      <c r="Q37" s="232"/>
      <c r="R37" s="756" t="s">
        <v>50</v>
      </c>
      <c r="S37" s="756"/>
      <c r="T37" s="756"/>
      <c r="U37" s="253"/>
      <c r="V37" s="172">
        <v>0</v>
      </c>
      <c r="W37" s="239" t="s">
        <v>49</v>
      </c>
      <c r="X37" s="174">
        <v>5.4000000000000003E-3</v>
      </c>
      <c r="Y37" s="266">
        <f>ROUND(V37*X37,2)</f>
        <v>0</v>
      </c>
    </row>
    <row r="38" spans="1:25" ht="20.25" customHeight="1" x14ac:dyDescent="0.25">
      <c r="A38" s="841" t="s">
        <v>51</v>
      </c>
      <c r="B38" s="841"/>
      <c r="C38" s="841"/>
      <c r="D38" s="841"/>
      <c r="E38" s="841"/>
      <c r="F38" s="248" t="s">
        <v>52</v>
      </c>
      <c r="G38" s="40"/>
      <c r="H38" s="223"/>
      <c r="I38" s="41"/>
      <c r="J38" s="131">
        <f>SUM(J36:J37)</f>
        <v>41123.29</v>
      </c>
      <c r="K38" s="39"/>
      <c r="L38" s="233"/>
      <c r="M38" s="233"/>
      <c r="N38" s="233"/>
      <c r="O38" s="31"/>
      <c r="P38" s="232"/>
      <c r="Q38" s="232"/>
      <c r="R38" s="758" t="s">
        <v>51</v>
      </c>
      <c r="S38" s="758"/>
      <c r="T38" s="758"/>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43" t="s">
        <v>53</v>
      </c>
      <c r="B40" s="843"/>
      <c r="C40" s="117" t="s">
        <v>159</v>
      </c>
      <c r="D40" s="117" t="s">
        <v>160</v>
      </c>
      <c r="E40" s="844" t="s">
        <v>158</v>
      </c>
      <c r="F40" s="844"/>
      <c r="G40" s="44" t="s">
        <v>55</v>
      </c>
      <c r="H40" s="250" t="s">
        <v>56</v>
      </c>
      <c r="I40" s="135" t="s">
        <v>57</v>
      </c>
      <c r="J40" s="44"/>
      <c r="K40" s="39"/>
      <c r="L40" s="233"/>
      <c r="M40" s="233"/>
      <c r="N40" s="233"/>
      <c r="O40" s="31"/>
      <c r="P40" s="232"/>
      <c r="Q40" s="232"/>
      <c r="R40" s="904" t="s">
        <v>53</v>
      </c>
      <c r="S40" s="904"/>
      <c r="T40" s="905" t="s">
        <v>54</v>
      </c>
      <c r="U40" s="905"/>
      <c r="V40" s="179" t="s">
        <v>55</v>
      </c>
      <c r="W40" s="246" t="s">
        <v>56</v>
      </c>
      <c r="X40" s="181" t="s">
        <v>57</v>
      </c>
      <c r="Y40" s="179"/>
    </row>
    <row r="41" spans="1:25" ht="17.25" customHeight="1" x14ac:dyDescent="0.25">
      <c r="A41" s="845" t="s">
        <v>58</v>
      </c>
      <c r="B41" s="845"/>
      <c r="C41" s="414">
        <v>0</v>
      </c>
      <c r="D41" s="414">
        <v>0</v>
      </c>
      <c r="E41" s="847">
        <f t="shared" ref="E41:E49" si="7">IF($D$50=0,C41*2,C41+D41)</f>
        <v>0</v>
      </c>
      <c r="F41" s="847"/>
      <c r="G41" s="223" t="s">
        <v>59</v>
      </c>
      <c r="H41" s="223">
        <v>251</v>
      </c>
      <c r="I41" s="136">
        <f>INDEX('[1]111-112-113 ADDITIONAL FUND'!D$1:D$65536,MATCH($A$1,'[1]111-112-113 ADDITIONAL FUND'!A$1:A$65536))</f>
        <v>1047</v>
      </c>
      <c r="J41" s="46">
        <f t="shared" ref="J41:J49" si="8">ROUND(E41*I41,2)</f>
        <v>0</v>
      </c>
      <c r="L41" s="3"/>
      <c r="M41" s="2"/>
      <c r="Q41" s="4"/>
      <c r="R41" s="906" t="s">
        <v>163</v>
      </c>
      <c r="S41" s="906"/>
      <c r="T41" s="914"/>
      <c r="U41" s="914"/>
      <c r="V41" s="239" t="s">
        <v>59</v>
      </c>
      <c r="W41" s="239">
        <v>251</v>
      </c>
      <c r="X41" s="134">
        <f t="shared" ref="X41:X49" si="9">I41</f>
        <v>1047</v>
      </c>
      <c r="Y41" s="269">
        <f>ROUND(T41*X41,2)</f>
        <v>0</v>
      </c>
    </row>
    <row r="42" spans="1:25" x14ac:dyDescent="0.25">
      <c r="A42" s="846"/>
      <c r="B42" s="846"/>
      <c r="C42" s="414">
        <v>0</v>
      </c>
      <c r="D42" s="414">
        <v>0</v>
      </c>
      <c r="E42" s="847">
        <f t="shared" si="7"/>
        <v>0</v>
      </c>
      <c r="F42" s="847"/>
      <c r="G42" s="223" t="s">
        <v>59</v>
      </c>
      <c r="H42" s="223">
        <v>252</v>
      </c>
      <c r="I42" s="136">
        <f>INDEX('[1]111-112-113 ADDITIONAL FUND'!E$1:E$65536,MATCH($A$1,'[1]111-112-113 ADDITIONAL FUND'!A$1:A$65536))</f>
        <v>3380</v>
      </c>
      <c r="J42" s="46">
        <f t="shared" si="8"/>
        <v>0</v>
      </c>
      <c r="M42" s="2"/>
      <c r="R42" s="906"/>
      <c r="S42" s="906"/>
      <c r="T42" s="907"/>
      <c r="U42" s="907"/>
      <c r="V42" s="239" t="s">
        <v>59</v>
      </c>
      <c r="W42" s="239">
        <v>252</v>
      </c>
      <c r="X42" s="134">
        <f t="shared" si="9"/>
        <v>3380</v>
      </c>
      <c r="Y42" s="269">
        <f t="shared" ref="Y42:Y49" si="10">ROUND(T42*X42,2)</f>
        <v>0</v>
      </c>
    </row>
    <row r="43" spans="1:25" x14ac:dyDescent="0.25">
      <c r="A43" s="846"/>
      <c r="B43" s="846"/>
      <c r="C43" s="414">
        <v>0</v>
      </c>
      <c r="D43" s="414">
        <v>0</v>
      </c>
      <c r="E43" s="847">
        <f t="shared" si="7"/>
        <v>0</v>
      </c>
      <c r="F43" s="847"/>
      <c r="G43" s="223" t="s">
        <v>59</v>
      </c>
      <c r="H43" s="223">
        <v>253</v>
      </c>
      <c r="I43" s="136">
        <f>INDEX('[1]111-112-113 ADDITIONAL FUND'!F$1:F$65536,MATCH($A$1,'[1]111-112-113 ADDITIONAL FUND'!A$1:A$65536))</f>
        <v>6896</v>
      </c>
      <c r="J43" s="46">
        <f t="shared" si="8"/>
        <v>0</v>
      </c>
      <c r="M43" s="2"/>
      <c r="R43" s="906"/>
      <c r="S43" s="906"/>
      <c r="T43" s="888"/>
      <c r="U43" s="888"/>
      <c r="V43" s="239" t="s">
        <v>59</v>
      </c>
      <c r="W43" s="239">
        <v>253</v>
      </c>
      <c r="X43" s="134">
        <f t="shared" si="9"/>
        <v>6896</v>
      </c>
      <c r="Y43" s="269">
        <f t="shared" si="10"/>
        <v>0</v>
      </c>
    </row>
    <row r="44" spans="1:25" ht="20.25" customHeight="1" x14ac:dyDescent="0.25">
      <c r="A44" s="846"/>
      <c r="B44" s="846"/>
      <c r="C44" s="414">
        <v>0</v>
      </c>
      <c r="D44" s="414">
        <v>0</v>
      </c>
      <c r="E44" s="847">
        <f t="shared" si="7"/>
        <v>0</v>
      </c>
      <c r="F44" s="847"/>
      <c r="G44" s="47" t="s">
        <v>60</v>
      </c>
      <c r="H44" s="223">
        <v>251</v>
      </c>
      <c r="I44" s="136">
        <f>INDEX('[1]111-112-113 ADDITIONAL FUND'!G$1:G$65536,MATCH($A$1,'[1]111-112-113 ADDITIONAL FUND'!A$1:A$65536))</f>
        <v>1173</v>
      </c>
      <c r="J44" s="137">
        <f t="shared" si="8"/>
        <v>0</v>
      </c>
      <c r="L44" s="3"/>
      <c r="M44" s="2"/>
      <c r="Q44" s="4"/>
      <c r="R44" s="906"/>
      <c r="S44" s="906"/>
      <c r="T44" s="888"/>
      <c r="U44" s="888"/>
      <c r="V44" s="182" t="s">
        <v>60</v>
      </c>
      <c r="W44" s="239">
        <v>251</v>
      </c>
      <c r="X44" s="134">
        <f t="shared" si="9"/>
        <v>1173</v>
      </c>
      <c r="Y44" s="269">
        <f t="shared" si="10"/>
        <v>0</v>
      </c>
    </row>
    <row r="45" spans="1:25" x14ac:dyDescent="0.25">
      <c r="A45" s="846"/>
      <c r="B45" s="846"/>
      <c r="C45" s="414">
        <v>0</v>
      </c>
      <c r="D45" s="414">
        <v>0</v>
      </c>
      <c r="E45" s="847">
        <f t="shared" si="7"/>
        <v>0</v>
      </c>
      <c r="F45" s="847"/>
      <c r="G45" s="47" t="s">
        <v>60</v>
      </c>
      <c r="H45" s="223">
        <v>252</v>
      </c>
      <c r="I45" s="136">
        <f>INDEX('[1]111-112-113 ADDITIONAL FUND'!H$1:H$65536,MATCH($A$1,'[1]111-112-113 ADDITIONAL FUND'!A$1:A$65536))</f>
        <v>3506</v>
      </c>
      <c r="J45" s="46">
        <f t="shared" si="8"/>
        <v>0</v>
      </c>
      <c r="M45" s="2"/>
      <c r="R45" s="906"/>
      <c r="S45" s="906"/>
      <c r="T45" s="888"/>
      <c r="U45" s="888"/>
      <c r="V45" s="182" t="s">
        <v>60</v>
      </c>
      <c r="W45" s="239">
        <v>252</v>
      </c>
      <c r="X45" s="134">
        <f t="shared" si="9"/>
        <v>3506</v>
      </c>
      <c r="Y45" s="269">
        <f t="shared" si="10"/>
        <v>0</v>
      </c>
    </row>
    <row r="46" spans="1:25" x14ac:dyDescent="0.25">
      <c r="A46" s="846"/>
      <c r="B46" s="846"/>
      <c r="C46" s="414">
        <v>0</v>
      </c>
      <c r="D46" s="414">
        <v>0</v>
      </c>
      <c r="E46" s="847">
        <f t="shared" si="7"/>
        <v>0</v>
      </c>
      <c r="F46" s="847"/>
      <c r="G46" s="47" t="s">
        <v>60</v>
      </c>
      <c r="H46" s="223">
        <v>253</v>
      </c>
      <c r="I46" s="136">
        <f>INDEX('[1]111-112-113 ADDITIONAL FUND'!I$1:I$65536,MATCH($A$1,'[1]111-112-113 ADDITIONAL FUND'!A$1:A$65536))</f>
        <v>7023</v>
      </c>
      <c r="J46" s="46">
        <f t="shared" si="8"/>
        <v>0</v>
      </c>
      <c r="M46" s="2"/>
      <c r="R46" s="906"/>
      <c r="S46" s="906"/>
      <c r="T46" s="888"/>
      <c r="U46" s="888"/>
      <c r="V46" s="182" t="s">
        <v>60</v>
      </c>
      <c r="W46" s="239">
        <v>253</v>
      </c>
      <c r="X46" s="134">
        <f t="shared" si="9"/>
        <v>7023</v>
      </c>
      <c r="Y46" s="269">
        <f t="shared" si="10"/>
        <v>0</v>
      </c>
    </row>
    <row r="47" spans="1:25" ht="16.5" customHeight="1" x14ac:dyDescent="0.25">
      <c r="A47" s="846"/>
      <c r="B47" s="846"/>
      <c r="C47" s="414">
        <v>7.77</v>
      </c>
      <c r="D47" s="414">
        <v>0</v>
      </c>
      <c r="E47" s="847">
        <f t="shared" si="7"/>
        <v>15.54</v>
      </c>
      <c r="F47" s="847"/>
      <c r="G47" s="47" t="s">
        <v>61</v>
      </c>
      <c r="H47" s="223">
        <v>251</v>
      </c>
      <c r="I47" s="136">
        <f>INDEX('[1]111-112-113 ADDITIONAL FUND'!J$1:J$65536,MATCH($A$1,'[1]111-112-113 ADDITIONAL FUND'!A$1:A$65536))</f>
        <v>835</v>
      </c>
      <c r="J47" s="46">
        <f t="shared" si="8"/>
        <v>12975.9</v>
      </c>
      <c r="M47" s="2"/>
      <c r="R47" s="906"/>
      <c r="S47" s="906"/>
      <c r="T47" s="888"/>
      <c r="U47" s="888"/>
      <c r="V47" s="182" t="s">
        <v>61</v>
      </c>
      <c r="W47" s="239">
        <v>251</v>
      </c>
      <c r="X47" s="134">
        <f t="shared" si="9"/>
        <v>835</v>
      </c>
      <c r="Y47" s="269">
        <f t="shared" si="10"/>
        <v>0</v>
      </c>
    </row>
    <row r="48" spans="1:25" ht="15.75" customHeight="1" x14ac:dyDescent="0.25">
      <c r="A48" s="846"/>
      <c r="B48" s="846"/>
      <c r="C48" s="414">
        <v>0.5</v>
      </c>
      <c r="D48" s="414">
        <v>0</v>
      </c>
      <c r="E48" s="847">
        <f t="shared" si="7"/>
        <v>1</v>
      </c>
      <c r="F48" s="847"/>
      <c r="G48" s="47" t="s">
        <v>61</v>
      </c>
      <c r="H48" s="223">
        <v>252</v>
      </c>
      <c r="I48" s="136">
        <f>INDEX('[1]111-112-113 ADDITIONAL FUND'!K$1:K$65536,MATCH($A$1,'[1]111-112-113 ADDITIONAL FUND'!A$1:A$65536))</f>
        <v>3168</v>
      </c>
      <c r="J48" s="46">
        <f t="shared" si="8"/>
        <v>3168</v>
      </c>
      <c r="M48" s="2"/>
      <c r="R48" s="906"/>
      <c r="S48" s="906"/>
      <c r="T48" s="888"/>
      <c r="U48" s="888"/>
      <c r="V48" s="182" t="s">
        <v>61</v>
      </c>
      <c r="W48" s="239">
        <v>252</v>
      </c>
      <c r="X48" s="134">
        <f t="shared" si="9"/>
        <v>3168</v>
      </c>
      <c r="Y48" s="269">
        <f t="shared" si="10"/>
        <v>0</v>
      </c>
    </row>
    <row r="49" spans="1:25" ht="15.75" customHeight="1" thickBot="1" x14ac:dyDescent="0.3">
      <c r="A49" s="846"/>
      <c r="B49" s="846"/>
      <c r="C49" s="414">
        <v>0</v>
      </c>
      <c r="D49" s="414">
        <v>0</v>
      </c>
      <c r="E49" s="852">
        <f t="shared" si="7"/>
        <v>0</v>
      </c>
      <c r="F49" s="852"/>
      <c r="G49" s="47" t="s">
        <v>61</v>
      </c>
      <c r="H49" s="223">
        <v>253</v>
      </c>
      <c r="I49" s="136">
        <f>INDEX('[1]111-112-113 ADDITIONAL FUND'!L$1:L$65536,MATCH($A$1,'[1]111-112-113 ADDITIONAL FUND'!A$1:A$65536))</f>
        <v>6685</v>
      </c>
      <c r="J49" s="46">
        <f t="shared" si="8"/>
        <v>0</v>
      </c>
      <c r="M49" s="2"/>
      <c r="R49" s="906"/>
      <c r="S49" s="906"/>
      <c r="T49" s="889"/>
      <c r="U49" s="889"/>
      <c r="V49" s="182" t="s">
        <v>61</v>
      </c>
      <c r="W49" s="239">
        <v>253</v>
      </c>
      <c r="X49" s="134">
        <f t="shared" si="9"/>
        <v>6685</v>
      </c>
      <c r="Y49" s="269">
        <f t="shared" si="10"/>
        <v>0</v>
      </c>
    </row>
    <row r="50" spans="1:25" ht="15.75" customHeight="1" thickBot="1" x14ac:dyDescent="0.3">
      <c r="A50" s="839" t="s">
        <v>62</v>
      </c>
      <c r="B50" s="839"/>
      <c r="C50" s="584">
        <f>SUM(C41:C49)</f>
        <v>8.27</v>
      </c>
      <c r="D50" s="584">
        <f>SUM(D41:D49)</f>
        <v>0</v>
      </c>
      <c r="E50" s="853">
        <f>SUM(E41:E49)</f>
        <v>16.54</v>
      </c>
      <c r="F50" s="853"/>
      <c r="G50" s="839" t="s">
        <v>63</v>
      </c>
      <c r="H50" s="839"/>
      <c r="I50" s="839"/>
      <c r="J50" s="276">
        <f>SUM(J41:J49)</f>
        <v>16143.9</v>
      </c>
      <c r="M50" s="2"/>
      <c r="R50" s="854" t="s">
        <v>62</v>
      </c>
      <c r="S50" s="854"/>
      <c r="T50" s="890">
        <f>SUM(T42:T49)</f>
        <v>0</v>
      </c>
      <c r="U50" s="890"/>
      <c r="V50" s="854" t="s">
        <v>63</v>
      </c>
      <c r="W50" s="854"/>
      <c r="X50" s="854"/>
      <c r="Y50" s="270">
        <f>SUM(Y41:Y49)</f>
        <v>0</v>
      </c>
    </row>
    <row r="51" spans="1:25" ht="15.75" customHeight="1" x14ac:dyDescent="0.25">
      <c r="A51" s="233"/>
      <c r="B51" s="233"/>
      <c r="C51" s="233"/>
      <c r="D51" s="233"/>
      <c r="E51" s="232"/>
      <c r="F51" s="232"/>
      <c r="G51" s="233"/>
      <c r="H51" s="233"/>
      <c r="I51" s="233"/>
      <c r="J51" s="35"/>
      <c r="M51" s="2"/>
      <c r="R51" s="758" t="s">
        <v>64</v>
      </c>
      <c r="S51" s="758"/>
      <c r="T51" s="758"/>
      <c r="U51" s="758"/>
      <c r="V51" s="758"/>
      <c r="W51" s="758"/>
      <c r="X51" s="758"/>
      <c r="Y51" s="758"/>
    </row>
    <row r="52" spans="1:25" ht="29.25" customHeight="1" x14ac:dyDescent="0.25">
      <c r="A52" s="841" t="s">
        <v>64</v>
      </c>
      <c r="B52" s="841"/>
      <c r="C52" s="841"/>
      <c r="D52" s="841"/>
      <c r="E52" s="841"/>
      <c r="F52" s="841"/>
      <c r="G52" s="841"/>
      <c r="H52" s="841"/>
      <c r="I52" s="841"/>
      <c r="J52" s="841"/>
      <c r="M52" s="2"/>
      <c r="R52" s="882" t="s">
        <v>65</v>
      </c>
      <c r="S52" s="882"/>
      <c r="T52" s="183">
        <f>T28</f>
        <v>0</v>
      </c>
      <c r="U52" s="184" t="s">
        <v>66</v>
      </c>
      <c r="V52" s="185"/>
      <c r="W52" s="186" t="s">
        <v>67</v>
      </c>
      <c r="X52" s="884">
        <f>I53</f>
        <v>215320.92</v>
      </c>
      <c r="Y52" s="884"/>
    </row>
    <row r="53" spans="1:25" ht="16.5" customHeight="1" x14ac:dyDescent="0.25">
      <c r="A53" s="848" t="s">
        <v>65</v>
      </c>
      <c r="B53" s="848"/>
      <c r="C53" s="237"/>
      <c r="D53" s="237"/>
      <c r="E53" s="48">
        <f>E28</f>
        <v>103.02</v>
      </c>
      <c r="F53" s="49" t="s">
        <v>66</v>
      </c>
      <c r="G53" s="3"/>
      <c r="H53" s="50" t="s">
        <v>67</v>
      </c>
      <c r="I53" s="940">
        <f>INDEX('[1]Detail 2025-26 FEFP Second'!E$1:E$65536,MATCH(A1,'[1]Detail 2025-26 FEFP Second'!A$1:A$65536))</f>
        <v>215320.92</v>
      </c>
      <c r="J53" s="940"/>
      <c r="M53" s="2"/>
      <c r="R53" s="255"/>
      <c r="S53" s="243"/>
      <c r="T53" s="170"/>
      <c r="U53" s="170"/>
      <c r="V53" s="170"/>
      <c r="W53" s="189" t="s">
        <v>68</v>
      </c>
      <c r="X53" s="885">
        <f>ROUND(T52/X52,6)</f>
        <v>0</v>
      </c>
      <c r="Y53" s="885"/>
    </row>
    <row r="54" spans="1:25" ht="22.5" customHeight="1" x14ac:dyDescent="0.25">
      <c r="A54" s="237"/>
      <c r="B54" s="230"/>
      <c r="C54" s="230"/>
      <c r="D54" s="230"/>
      <c r="H54" s="53" t="s">
        <v>68</v>
      </c>
      <c r="I54" s="849">
        <f>IFERROR(ROUND(E53/I53,6),0)</f>
        <v>4.7800000000000002E-4</v>
      </c>
      <c r="J54" s="849"/>
      <c r="M54" s="2"/>
      <c r="R54" s="758" t="s">
        <v>164</v>
      </c>
      <c r="S54" s="758"/>
      <c r="T54" s="758"/>
      <c r="U54" s="758"/>
      <c r="V54" s="758"/>
      <c r="W54" s="758"/>
      <c r="X54" s="758"/>
      <c r="Y54" s="758"/>
    </row>
    <row r="55" spans="1:25" ht="15" customHeight="1" x14ac:dyDescent="0.25">
      <c r="A55" s="841" t="s">
        <v>69</v>
      </c>
      <c r="B55" s="841"/>
      <c r="C55" s="841"/>
      <c r="D55" s="841"/>
      <c r="E55" s="841"/>
      <c r="F55" s="841"/>
      <c r="G55" s="841"/>
      <c r="H55" s="841"/>
      <c r="I55" s="841"/>
      <c r="J55" s="841"/>
      <c r="M55" s="2"/>
      <c r="R55" s="882" t="s">
        <v>70</v>
      </c>
      <c r="S55" s="882"/>
      <c r="T55" s="183">
        <f>V33</f>
        <v>0</v>
      </c>
      <c r="U55" s="184" t="s">
        <v>66</v>
      </c>
      <c r="V55" s="185"/>
      <c r="W55" s="186" t="s">
        <v>71</v>
      </c>
      <c r="X55" s="884">
        <f>I56</f>
        <v>229051.25000000003</v>
      </c>
      <c r="Y55" s="884"/>
    </row>
    <row r="56" spans="1:25" ht="16.5" customHeight="1" x14ac:dyDescent="0.25">
      <c r="A56" s="848" t="s">
        <v>70</v>
      </c>
      <c r="B56" s="848"/>
      <c r="C56" s="237"/>
      <c r="D56" s="237"/>
      <c r="E56" s="48">
        <f>G33</f>
        <v>102.5222</v>
      </c>
      <c r="F56" s="49" t="s">
        <v>66</v>
      </c>
      <c r="G56" s="3"/>
      <c r="H56" s="50" t="s">
        <v>71</v>
      </c>
      <c r="I56" s="940">
        <f>INDEX('[1]Detail 2025-26 FEFP Second'!F$1:F$65536,MATCH(A1,'[1]Detail 2025-26 FEFP Second'!A$1:A$65536))</f>
        <v>229051.25000000003</v>
      </c>
      <c r="J56" s="940"/>
      <c r="M56" s="2"/>
      <c r="R56" s="255"/>
      <c r="S56" s="170"/>
      <c r="T56" s="170"/>
      <c r="U56" s="170"/>
      <c r="V56" s="170"/>
      <c r="W56" s="189" t="s">
        <v>68</v>
      </c>
      <c r="X56" s="885">
        <f>ROUND(T55/X55,6)</f>
        <v>0</v>
      </c>
      <c r="Y56" s="885"/>
    </row>
    <row r="57" spans="1:25" ht="18.75" customHeight="1" x14ac:dyDescent="0.25">
      <c r="A57" s="237"/>
      <c r="H57" s="53" t="s">
        <v>68</v>
      </c>
      <c r="I57" s="849">
        <f>IFERROR(ROUND(E56/I56,6),0)</f>
        <v>4.4799999999999999E-4</v>
      </c>
      <c r="J57" s="849"/>
      <c r="M57" s="2"/>
      <c r="P57" s="235"/>
      <c r="Q57" s="54"/>
      <c r="R57" s="758" t="s">
        <v>72</v>
      </c>
      <c r="S57" s="758"/>
      <c r="T57" s="758"/>
      <c r="U57" s="758"/>
      <c r="V57" s="758"/>
      <c r="W57" s="758"/>
      <c r="X57" s="758"/>
      <c r="Y57" s="758"/>
    </row>
    <row r="58" spans="1:25" ht="18.75" customHeight="1" x14ac:dyDescent="0.25">
      <c r="A58" s="841" t="s">
        <v>72</v>
      </c>
      <c r="B58" s="841"/>
      <c r="C58" s="841"/>
      <c r="D58" s="841"/>
      <c r="E58" s="841"/>
      <c r="F58" s="841"/>
      <c r="G58" s="841"/>
      <c r="H58" s="841"/>
      <c r="I58" s="841"/>
      <c r="J58" s="841"/>
      <c r="M58" s="2"/>
      <c r="R58" s="882" t="s">
        <v>73</v>
      </c>
      <c r="S58" s="882"/>
      <c r="T58" s="183">
        <f>T28</f>
        <v>0</v>
      </c>
      <c r="U58" s="184" t="s">
        <v>66</v>
      </c>
      <c r="V58" s="883" t="s">
        <v>74</v>
      </c>
      <c r="W58" s="883"/>
      <c r="X58" s="884">
        <f>I59</f>
        <v>186156.17</v>
      </c>
      <c r="Y58" s="884"/>
    </row>
    <row r="59" spans="1:25" ht="18.75" customHeight="1" x14ac:dyDescent="0.25">
      <c r="A59" s="848" t="s">
        <v>73</v>
      </c>
      <c r="B59" s="848"/>
      <c r="C59" s="237"/>
      <c r="D59" s="237"/>
      <c r="E59" s="48">
        <f>E28</f>
        <v>103.02</v>
      </c>
      <c r="F59" s="49" t="s">
        <v>66</v>
      </c>
      <c r="G59" s="934" t="s">
        <v>74</v>
      </c>
      <c r="H59" s="934"/>
      <c r="I59" s="940">
        <f>INDEX('[1]Detail 2025-26 FEFP Second'!H$1:H$65536,MATCH(A1,'[1]Detail 2025-26 FEFP Second'!A$1:A$65536))</f>
        <v>186156.17</v>
      </c>
      <c r="J59" s="940"/>
      <c r="M59" s="2"/>
      <c r="R59" s="255"/>
      <c r="S59" s="170"/>
      <c r="T59" s="170"/>
      <c r="U59" s="170"/>
      <c r="V59" s="170"/>
      <c r="W59" s="189" t="s">
        <v>68</v>
      </c>
      <c r="X59" s="885">
        <f>ROUND(T58/X58,6)</f>
        <v>0</v>
      </c>
      <c r="Y59" s="885"/>
    </row>
    <row r="60" spans="1:25" ht="18" customHeight="1" x14ac:dyDescent="0.25">
      <c r="A60" s="237"/>
      <c r="H60" s="53" t="s">
        <v>68</v>
      </c>
      <c r="I60" s="849">
        <f>IFERROR(ROUND(E59/I59,6),0)</f>
        <v>5.53E-4</v>
      </c>
      <c r="J60" s="849"/>
      <c r="M60" s="2"/>
      <c r="R60" s="758" t="s">
        <v>75</v>
      </c>
      <c r="S60" s="758"/>
      <c r="T60" s="758"/>
      <c r="U60" s="758"/>
      <c r="V60" s="758"/>
      <c r="W60" s="758"/>
      <c r="X60" s="758"/>
      <c r="Y60" s="758"/>
    </row>
    <row r="61" spans="1:25" ht="19.5" customHeight="1" x14ac:dyDescent="0.25">
      <c r="A61" s="841" t="s">
        <v>75</v>
      </c>
      <c r="B61" s="841"/>
      <c r="C61" s="841"/>
      <c r="D61" s="841"/>
      <c r="E61" s="841"/>
      <c r="F61" s="841"/>
      <c r="G61" s="841"/>
      <c r="H61" s="841"/>
      <c r="I61" s="841"/>
      <c r="J61" s="841"/>
      <c r="M61" s="2"/>
      <c r="R61" s="882" t="s">
        <v>73</v>
      </c>
      <c r="S61" s="882"/>
      <c r="T61" s="183">
        <f>T28</f>
        <v>0</v>
      </c>
      <c r="U61" s="184" t="s">
        <v>66</v>
      </c>
      <c r="V61" s="883" t="s">
        <v>76</v>
      </c>
      <c r="W61" s="883"/>
      <c r="X61" s="884">
        <f>I62</f>
        <v>215016.58000000002</v>
      </c>
      <c r="Y61" s="884"/>
    </row>
    <row r="62" spans="1:25" ht="30.75" customHeight="1" x14ac:dyDescent="0.25">
      <c r="A62" s="848" t="s">
        <v>73</v>
      </c>
      <c r="B62" s="848"/>
      <c r="C62" s="237"/>
      <c r="D62" s="237"/>
      <c r="E62" s="48">
        <f>E28</f>
        <v>103.02</v>
      </c>
      <c r="F62" s="49" t="s">
        <v>66</v>
      </c>
      <c r="G62" s="934" t="s">
        <v>76</v>
      </c>
      <c r="H62" s="934"/>
      <c r="I62" s="940">
        <f>INDEX('[1]Detail 2025-26 FEFP Second'!G$1:G$65536,MATCH(A1,'[1]Detail 2025-26 FEFP Second'!A$1:A$65536))</f>
        <v>215016.58000000002</v>
      </c>
      <c r="J62" s="940"/>
      <c r="M62" s="2"/>
      <c r="R62" s="255"/>
      <c r="S62" s="170"/>
      <c r="T62" s="170"/>
      <c r="U62" s="170"/>
      <c r="V62" s="170"/>
      <c r="W62" s="189" t="s">
        <v>68</v>
      </c>
      <c r="X62" s="885">
        <f>ROUND(T61/X61,6)</f>
        <v>0</v>
      </c>
      <c r="Y62" s="885"/>
    </row>
    <row r="63" spans="1:25" ht="19.5" customHeight="1" x14ac:dyDescent="0.25">
      <c r="A63" s="237"/>
      <c r="H63" s="53" t="s">
        <v>68</v>
      </c>
      <c r="I63" s="849">
        <f>IFERROR(ROUND(E62/I62,6),0)</f>
        <v>4.7899999999999999E-4</v>
      </c>
      <c r="J63" s="849"/>
      <c r="L63" s="55"/>
      <c r="M63" s="56"/>
      <c r="O63" s="57"/>
      <c r="P63" s="58"/>
      <c r="R63" s="758" t="s">
        <v>77</v>
      </c>
      <c r="S63" s="758"/>
      <c r="T63" s="758"/>
      <c r="U63" s="758"/>
      <c r="V63" s="758"/>
      <c r="W63" s="758"/>
      <c r="X63" s="758"/>
      <c r="Y63" s="758"/>
    </row>
    <row r="64" spans="1:25" ht="15" customHeight="1" x14ac:dyDescent="0.25">
      <c r="A64" s="841" t="s">
        <v>77</v>
      </c>
      <c r="B64" s="841"/>
      <c r="C64" s="841"/>
      <c r="D64" s="841"/>
      <c r="E64" s="841"/>
      <c r="F64" s="841"/>
      <c r="G64" s="841"/>
      <c r="H64" s="841"/>
      <c r="I64" s="841"/>
      <c r="J64" s="841"/>
      <c r="M64" s="2"/>
      <c r="R64" s="882" t="s">
        <v>73</v>
      </c>
      <c r="S64" s="882"/>
      <c r="T64" s="183">
        <f>T28</f>
        <v>0</v>
      </c>
      <c r="U64" s="184" t="s">
        <v>66</v>
      </c>
      <c r="V64" s="883" t="s">
        <v>165</v>
      </c>
      <c r="W64" s="883"/>
      <c r="X64" s="884">
        <f>I65</f>
        <v>185851.83000000002</v>
      </c>
      <c r="Y64" s="884"/>
    </row>
    <row r="65" spans="1:26" ht="49.5" customHeight="1" x14ac:dyDescent="0.25">
      <c r="A65" s="848" t="s">
        <v>73</v>
      </c>
      <c r="B65" s="848"/>
      <c r="C65" s="237"/>
      <c r="D65" s="237"/>
      <c r="E65" s="48">
        <f>E28</f>
        <v>103.02</v>
      </c>
      <c r="F65" s="49" t="s">
        <v>66</v>
      </c>
      <c r="G65" s="934" t="s">
        <v>78</v>
      </c>
      <c r="H65" s="934"/>
      <c r="I65" s="940">
        <f>INDEX('[1]Detail 2025-26 FEFP Second'!I$1:I$65536,MATCH(A1,'[1]Detail 2025-26 FEFP Second'!A$1:A$65536))</f>
        <v>185851.83000000002</v>
      </c>
      <c r="J65" s="940"/>
      <c r="M65" s="2"/>
      <c r="R65" s="190"/>
      <c r="S65" s="170"/>
      <c r="T65" s="170"/>
      <c r="U65" s="170"/>
      <c r="V65" s="170"/>
      <c r="W65" s="189" t="s">
        <v>68</v>
      </c>
      <c r="X65" s="885">
        <f>ROUND(T64/X64,6)</f>
        <v>0</v>
      </c>
      <c r="Y65" s="885"/>
    </row>
    <row r="66" spans="1:26" ht="19.5" customHeight="1" x14ac:dyDescent="0.25">
      <c r="A66" s="237"/>
      <c r="H66" s="53" t="s">
        <v>68</v>
      </c>
      <c r="I66" s="849">
        <f>IFERROR(ROUND(E65/I65,6),0)</f>
        <v>5.5400000000000002E-4</v>
      </c>
      <c r="J66" s="849"/>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758" t="s">
        <v>79</v>
      </c>
      <c r="S67" s="758"/>
      <c r="T67" s="758"/>
      <c r="U67" s="253"/>
      <c r="V67" s="193">
        <f>G68</f>
        <v>47290747</v>
      </c>
      <c r="W67" s="239" t="s">
        <v>81</v>
      </c>
      <c r="X67" s="176">
        <f>X62</f>
        <v>0</v>
      </c>
      <c r="Y67" s="271">
        <f>ROUND(V67*X67,2)</f>
        <v>0</v>
      </c>
    </row>
    <row r="68" spans="1:26" ht="30.75" customHeight="1" x14ac:dyDescent="0.25">
      <c r="A68" s="857" t="s">
        <v>79</v>
      </c>
      <c r="B68" s="857"/>
      <c r="C68" s="857"/>
      <c r="D68" s="857"/>
      <c r="E68" s="857"/>
      <c r="F68" s="248" t="s">
        <v>80</v>
      </c>
      <c r="G68" s="277">
        <f>INDEX('[1]Detail 2025-26 FEFP Second'!N$1:N$65536,MATCH(A1,'[1]Detail 2025-26 FEFP Second'!A$1:A$65536))</f>
        <v>47290747</v>
      </c>
      <c r="H68" s="223" t="s">
        <v>81</v>
      </c>
      <c r="I68" s="41">
        <f>I63</f>
        <v>4.7899999999999999E-4</v>
      </c>
      <c r="J68" s="138">
        <f>ROUND(G68*I68,2)</f>
        <v>22652.27</v>
      </c>
      <c r="M68" s="2"/>
      <c r="R68" s="886" t="s">
        <v>82</v>
      </c>
      <c r="S68" s="886"/>
      <c r="T68" s="240"/>
      <c r="U68" s="253"/>
      <c r="V68" s="194"/>
      <c r="W68" s="239"/>
      <c r="X68" s="176"/>
      <c r="Y68" s="271"/>
    </row>
    <row r="69" spans="1:26" ht="30.75" customHeight="1" x14ac:dyDescent="0.25">
      <c r="A69" s="840" t="s">
        <v>82</v>
      </c>
      <c r="B69" s="840"/>
      <c r="C69" s="234"/>
      <c r="D69" s="234"/>
      <c r="E69" s="235"/>
      <c r="F69" s="248"/>
      <c r="G69" s="63"/>
      <c r="H69" s="223"/>
      <c r="I69" s="41"/>
      <c r="J69" s="62"/>
      <c r="M69" s="2"/>
      <c r="R69" s="887" t="s">
        <v>166</v>
      </c>
      <c r="S69" s="882"/>
      <c r="T69" s="882"/>
      <c r="U69" s="253"/>
      <c r="V69" s="195">
        <f>G70</f>
        <v>0</v>
      </c>
      <c r="W69" s="239" t="s">
        <v>81</v>
      </c>
      <c r="X69" s="176">
        <f>X53</f>
        <v>0</v>
      </c>
      <c r="Y69" s="266">
        <f t="shared" ref="Y69:Y71" si="11">ROUND(V69*X69,2)</f>
        <v>0</v>
      </c>
    </row>
    <row r="70" spans="1:26" ht="17.25" customHeight="1" x14ac:dyDescent="0.25">
      <c r="A70" s="860" t="s">
        <v>83</v>
      </c>
      <c r="B70" s="860"/>
      <c r="C70" s="860"/>
      <c r="D70" s="860"/>
      <c r="E70" s="860"/>
      <c r="F70" s="248" t="s">
        <v>84</v>
      </c>
      <c r="G70" s="277">
        <f>INDEX('[1]Detail 2025-26 FEFP Second'!L$1:L$65536,MATCH(A1,'[1]Detail 2025-26 FEFP Second'!A$1:A$65536))</f>
        <v>0</v>
      </c>
      <c r="H70" s="223" t="s">
        <v>81</v>
      </c>
      <c r="I70" s="41">
        <f>I54</f>
        <v>4.7800000000000002E-4</v>
      </c>
      <c r="J70" s="138">
        <f>ROUND(G70*I70,2)</f>
        <v>0</v>
      </c>
      <c r="M70" s="2"/>
      <c r="R70" s="758" t="s">
        <v>167</v>
      </c>
      <c r="S70" s="758"/>
      <c r="T70" s="758"/>
      <c r="U70" s="253"/>
      <c r="V70" s="193">
        <f>G71</f>
        <v>19167881</v>
      </c>
      <c r="W70" s="239" t="s">
        <v>81</v>
      </c>
      <c r="X70" s="176">
        <f>X65</f>
        <v>0</v>
      </c>
      <c r="Y70" s="266">
        <f t="shared" si="11"/>
        <v>0</v>
      </c>
    </row>
    <row r="71" spans="1:26" ht="19.5" customHeight="1" x14ac:dyDescent="0.25">
      <c r="A71" s="841" t="s">
        <v>85</v>
      </c>
      <c r="B71" s="841"/>
      <c r="C71" s="841"/>
      <c r="D71" s="841"/>
      <c r="E71" s="841"/>
      <c r="F71" s="248" t="s">
        <v>86</v>
      </c>
      <c r="G71" s="277">
        <f>INDEX('[1]Detail 2025-26 FEFP Second'!M$1:M$65536,MATCH(A1,'[1]Detail 2025-26 FEFP Second'!A$1:A$65536))</f>
        <v>19167881</v>
      </c>
      <c r="H71" s="223" t="s">
        <v>81</v>
      </c>
      <c r="I71" s="41">
        <f>I66</f>
        <v>5.5400000000000002E-4</v>
      </c>
      <c r="J71" s="138">
        <f>ROUND(G71*I71,2)</f>
        <v>10619.01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5.53E-4</v>
      </c>
      <c r="J72" s="138">
        <f>ROUND(G72*I72,2)</f>
        <v>6385.43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768" t="s">
        <v>91</v>
      </c>
      <c r="S73" s="768"/>
      <c r="T73" s="769" t="s">
        <v>170</v>
      </c>
      <c r="U73" s="770"/>
      <c r="V73" s="770"/>
      <c r="W73" s="770"/>
      <c r="X73" s="770"/>
      <c r="Y73" s="153"/>
    </row>
    <row r="74" spans="1:26" ht="63" customHeight="1" x14ac:dyDescent="0.25">
      <c r="A74" s="771" t="s">
        <v>91</v>
      </c>
      <c r="B74" s="771"/>
      <c r="C74" s="229"/>
      <c r="D74" s="229"/>
      <c r="E74" s="772" t="s">
        <v>92</v>
      </c>
      <c r="F74" s="773"/>
      <c r="G74" s="773"/>
      <c r="H74" s="773"/>
      <c r="I74" s="773"/>
      <c r="J74" s="18"/>
      <c r="M74" s="2"/>
      <c r="R74" s="761" t="s">
        <v>93</v>
      </c>
      <c r="S74" s="761"/>
      <c r="T74" s="197"/>
      <c r="U74" s="197"/>
      <c r="V74" s="197"/>
      <c r="W74" s="197"/>
      <c r="X74" s="197"/>
      <c r="Y74" s="197"/>
    </row>
    <row r="75" spans="1:26" ht="22.5" customHeight="1" x14ac:dyDescent="0.25">
      <c r="A75" s="762" t="s">
        <v>93</v>
      </c>
      <c r="B75" s="762"/>
      <c r="C75" s="236"/>
      <c r="D75" s="236"/>
      <c r="E75" s="65"/>
      <c r="F75" s="65"/>
      <c r="G75" s="65"/>
      <c r="H75" s="65"/>
      <c r="I75" s="65"/>
      <c r="J75" s="129"/>
      <c r="L75" s="66"/>
      <c r="M75" s="2"/>
      <c r="O75" s="248"/>
      <c r="P75" s="248"/>
      <c r="R75" s="761" t="s">
        <v>94</v>
      </c>
      <c r="S75" s="761"/>
      <c r="T75" s="197"/>
      <c r="U75" s="197"/>
      <c r="V75" s="197"/>
      <c r="W75" s="197"/>
      <c r="X75" s="197"/>
      <c r="Y75" s="197"/>
    </row>
    <row r="76" spans="1:26" ht="18.75" customHeight="1" x14ac:dyDescent="0.25">
      <c r="A76" s="762" t="s">
        <v>94</v>
      </c>
      <c r="B76" s="762"/>
      <c r="C76" s="236"/>
      <c r="D76" s="236"/>
      <c r="E76" s="65"/>
      <c r="F76" s="65"/>
      <c r="G76" s="65"/>
      <c r="H76" s="65"/>
      <c r="I76" s="65"/>
      <c r="J76" s="129"/>
      <c r="L76" s="67"/>
      <c r="M76" s="2"/>
      <c r="O76" s="248"/>
      <c r="P76" s="248"/>
      <c r="R76" s="759" t="s">
        <v>95</v>
      </c>
      <c r="S76" s="759"/>
      <c r="T76" s="198"/>
      <c r="U76" s="198"/>
      <c r="V76" s="198"/>
      <c r="W76" s="198"/>
      <c r="X76" s="198"/>
      <c r="Y76" s="197"/>
    </row>
    <row r="77" spans="1:26" ht="18.75" customHeight="1" x14ac:dyDescent="0.25">
      <c r="A77" s="760" t="s">
        <v>95</v>
      </c>
      <c r="B77" s="760"/>
      <c r="C77" s="244"/>
      <c r="D77" s="244"/>
      <c r="E77" s="68"/>
      <c r="F77" s="68"/>
      <c r="G77" s="68"/>
      <c r="H77" s="68"/>
      <c r="I77" s="68"/>
      <c r="J77" s="128">
        <v>1.76</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761" t="s">
        <v>97</v>
      </c>
      <c r="S78" s="761"/>
      <c r="T78" s="197"/>
      <c r="U78" s="197"/>
      <c r="V78" s="197"/>
      <c r="W78" s="197"/>
      <c r="X78" s="197"/>
      <c r="Y78" s="197"/>
      <c r="Z78" s="72"/>
    </row>
    <row r="79" spans="1:26" ht="18.75" customHeight="1" x14ac:dyDescent="0.25">
      <c r="A79" s="762" t="s">
        <v>97</v>
      </c>
      <c r="B79" s="762"/>
      <c r="C79" s="236"/>
      <c r="D79" s="236"/>
      <c r="E79" s="65"/>
      <c r="F79" s="65"/>
      <c r="G79" s="65"/>
      <c r="H79" s="65"/>
      <c r="I79" s="65"/>
      <c r="J79" s="129"/>
      <c r="K79" s="70"/>
      <c r="L79" s="70"/>
      <c r="M79" s="71"/>
      <c r="N79" s="70"/>
      <c r="O79" s="70"/>
      <c r="P79" s="70"/>
      <c r="Q79" s="70"/>
      <c r="R79" s="763" t="s">
        <v>98</v>
      </c>
      <c r="S79" s="763"/>
      <c r="T79" s="200"/>
      <c r="U79" s="200"/>
      <c r="V79" s="200"/>
      <c r="W79" s="200"/>
      <c r="X79" s="200"/>
      <c r="Y79" s="197"/>
      <c r="Z79" s="72"/>
    </row>
    <row r="80" spans="1:26" ht="17.25" customHeight="1" x14ac:dyDescent="0.25">
      <c r="A80" s="764" t="s">
        <v>98</v>
      </c>
      <c r="B80" s="764"/>
      <c r="C80" s="231"/>
      <c r="D80" s="231"/>
      <c r="E80" s="73"/>
      <c r="F80" s="73"/>
      <c r="G80" s="73"/>
      <c r="H80" s="73"/>
      <c r="I80" s="73"/>
      <c r="J80" s="129">
        <v>0</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1.76</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756" t="s">
        <v>101</v>
      </c>
      <c r="S83" s="756"/>
      <c r="T83" s="170"/>
      <c r="U83" s="170"/>
      <c r="V83" s="171">
        <f>G84</f>
        <v>63269727</v>
      </c>
      <c r="W83" s="239" t="s">
        <v>81</v>
      </c>
      <c r="X83" s="176">
        <f>IFERROR(ROUND(Y80/Y81,6),0)</f>
        <v>0</v>
      </c>
      <c r="Y83" s="266">
        <f>ROUND(V83*X83,2)</f>
        <v>0</v>
      </c>
      <c r="Z83" s="72"/>
    </row>
    <row r="84" spans="1:26" ht="21" customHeight="1" x14ac:dyDescent="0.25">
      <c r="A84" s="757" t="s">
        <v>101</v>
      </c>
      <c r="B84" s="757"/>
      <c r="C84" s="230"/>
      <c r="D84" s="230"/>
      <c r="G84" s="121">
        <f>INDEX('[1]Detail 2025-26 FEFP Second'!O$1:O$65536,MATCH(A1,'[1]Detail 2025-26 FEFP Second'!A$1:A$65536))</f>
        <v>63269727</v>
      </c>
      <c r="H84" s="223" t="s">
        <v>81</v>
      </c>
      <c r="I84" s="41">
        <f>IFERROR(ROUND(J81/J82,6),0)</f>
        <v>1.54E-4</v>
      </c>
      <c r="J84" s="62">
        <f>ROUND(G84*I84,2)</f>
        <v>9743.5400000000009</v>
      </c>
      <c r="K84" s="70"/>
      <c r="L84" s="70"/>
      <c r="M84" s="71"/>
      <c r="N84" s="70"/>
      <c r="O84" s="70"/>
      <c r="P84" s="70"/>
      <c r="Q84" s="70"/>
      <c r="R84" s="758" t="s">
        <v>171</v>
      </c>
      <c r="S84" s="758"/>
      <c r="T84" s="758"/>
      <c r="U84" s="253"/>
      <c r="V84" s="274"/>
      <c r="W84" s="239"/>
      <c r="X84" s="176"/>
      <c r="Y84" s="266"/>
    </row>
    <row r="85" spans="1:26" ht="17.25" customHeight="1" x14ac:dyDescent="0.25">
      <c r="A85" s="841" t="s">
        <v>102</v>
      </c>
      <c r="B85" s="841"/>
      <c r="C85" s="841"/>
      <c r="D85" s="841"/>
      <c r="E85" s="841"/>
      <c r="F85" s="248" t="s">
        <v>103</v>
      </c>
      <c r="G85" s="121">
        <f>INDEX('[1]Detail 2025-26 FEFP Second'!Q$1:Q$65536,MATCH(A1,'[1]Detail 2025-26 FEFP Second'!A$1:A$65536))</f>
        <v>268816278</v>
      </c>
      <c r="H85" s="223" t="s">
        <v>81</v>
      </c>
      <c r="I85" s="41">
        <f>I57</f>
        <v>4.4799999999999999E-4</v>
      </c>
      <c r="J85" s="138">
        <f>ROUND(G85*I85,2)</f>
        <v>120429.69</v>
      </c>
      <c r="K85" s="70"/>
      <c r="L85" s="70"/>
      <c r="M85" s="71"/>
      <c r="N85" s="70"/>
      <c r="O85" s="70"/>
      <c r="P85" s="70"/>
      <c r="Q85" s="70"/>
      <c r="R85" s="758" t="s">
        <v>172</v>
      </c>
      <c r="S85" s="758"/>
      <c r="T85" s="758"/>
      <c r="U85" s="253"/>
      <c r="V85" s="171">
        <f>G85</f>
        <v>268816278</v>
      </c>
      <c r="W85" s="239" t="s">
        <v>81</v>
      </c>
      <c r="X85" s="176">
        <f>X56</f>
        <v>0</v>
      </c>
      <c r="Y85" s="266">
        <f t="shared" ref="Y85:Y87" si="12">ROUND(V85*X85,2)</f>
        <v>0</v>
      </c>
    </row>
    <row r="86" spans="1:26" ht="14.25" customHeight="1" x14ac:dyDescent="0.25">
      <c r="A86" s="841" t="s">
        <v>104</v>
      </c>
      <c r="B86" s="841"/>
      <c r="C86" s="841"/>
      <c r="D86" s="841"/>
      <c r="E86" s="841"/>
      <c r="F86" s="248" t="s">
        <v>103</v>
      </c>
      <c r="G86" s="139">
        <f>INDEX('[1]Detail 2025-26 FEFP Second'!R$1:R$65536,MATCH(A1,'[1]Detail 2025-26 FEFP Second'!A$1:A$65536))</f>
        <v>0</v>
      </c>
      <c r="H86" s="223" t="s">
        <v>81</v>
      </c>
      <c r="I86" s="41">
        <f>I57</f>
        <v>4.4799999999999999E-4</v>
      </c>
      <c r="J86" s="138">
        <f>ROUND(G86*I86,2)</f>
        <v>0</v>
      </c>
      <c r="K86" s="70"/>
      <c r="L86" s="71"/>
      <c r="M86" s="76"/>
      <c r="N86" s="76"/>
      <c r="O86" s="76"/>
      <c r="P86" s="76"/>
      <c r="Q86" s="70"/>
      <c r="R86" s="758" t="s">
        <v>173</v>
      </c>
      <c r="S86" s="758"/>
      <c r="T86" s="758"/>
      <c r="U86" s="253"/>
      <c r="V86" s="203">
        <f>G86</f>
        <v>0</v>
      </c>
      <c r="W86" s="239" t="s">
        <v>81</v>
      </c>
      <c r="X86" s="176">
        <f>X56</f>
        <v>0</v>
      </c>
      <c r="Y86" s="266">
        <f t="shared" si="12"/>
        <v>0</v>
      </c>
    </row>
    <row r="87" spans="1:26" ht="18" customHeight="1" x14ac:dyDescent="0.25">
      <c r="A87" s="841" t="s">
        <v>105</v>
      </c>
      <c r="B87" s="841"/>
      <c r="C87" s="841"/>
      <c r="D87" s="841"/>
      <c r="E87" s="841"/>
      <c r="F87" s="248" t="s">
        <v>84</v>
      </c>
      <c r="G87" s="139">
        <f>INDEX('[1]Detail 2025-26 FEFP Second'!S$1:S$65536,MATCH(A1,'[1]Detail 2025-26 FEFP Second'!A$1:A$65536))</f>
        <v>0</v>
      </c>
      <c r="H87" s="223" t="s">
        <v>81</v>
      </c>
      <c r="I87" s="41">
        <f>I54</f>
        <v>4.7800000000000002E-4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41" t="s">
        <v>106</v>
      </c>
      <c r="B88" s="841"/>
      <c r="C88" s="841"/>
      <c r="D88" s="841"/>
      <c r="E88" s="841"/>
      <c r="F88" s="841"/>
      <c r="G88" s="841"/>
      <c r="H88" s="841"/>
      <c r="I88" s="841"/>
      <c r="J88" s="841"/>
      <c r="K88" s="70"/>
      <c r="L88" s="70"/>
      <c r="M88" s="71"/>
      <c r="N88" s="70"/>
      <c r="O88" s="70"/>
      <c r="P88" s="70"/>
      <c r="Q88" s="70"/>
      <c r="R88" s="758" t="s">
        <v>175</v>
      </c>
      <c r="S88" s="758"/>
      <c r="T88" s="758"/>
      <c r="U88" s="758"/>
      <c r="V88" s="758"/>
      <c r="W88" s="758"/>
      <c r="X88" s="758"/>
      <c r="Y88" s="758"/>
    </row>
    <row r="89" spans="1:26" ht="15.75" customHeight="1" x14ac:dyDescent="0.25">
      <c r="A89" s="78"/>
      <c r="B89" s="79" t="s">
        <v>107</v>
      </c>
      <c r="C89" s="79"/>
      <c r="D89" s="817" t="s">
        <v>108</v>
      </c>
      <c r="E89" s="817"/>
      <c r="F89" s="817"/>
      <c r="G89" s="933" t="s">
        <v>109</v>
      </c>
      <c r="H89" s="933"/>
      <c r="I89" s="933"/>
      <c r="J89" s="933"/>
      <c r="K89" s="70"/>
      <c r="L89" s="70"/>
      <c r="M89" s="71"/>
      <c r="N89" s="70"/>
      <c r="O89" s="70"/>
      <c r="P89" s="70"/>
      <c r="Q89" s="70"/>
      <c r="R89" s="879" t="s">
        <v>107</v>
      </c>
      <c r="S89" s="879"/>
      <c r="T89" s="855" t="s">
        <v>176</v>
      </c>
      <c r="U89" s="880"/>
      <c r="V89" s="881" t="s">
        <v>109</v>
      </c>
      <c r="W89" s="881"/>
      <c r="X89" s="881"/>
      <c r="Y89" s="881"/>
    </row>
    <row r="90" spans="1:26" ht="18.75" customHeight="1" x14ac:dyDescent="0.25">
      <c r="A90" s="233" t="s">
        <v>110</v>
      </c>
      <c r="B90" s="245">
        <f>I12+I13+I18+I21+I24</f>
        <v>0</v>
      </c>
      <c r="C90" s="245"/>
      <c r="D90" s="915">
        <f>I6</f>
        <v>1.0355000000000001</v>
      </c>
      <c r="E90" s="915"/>
      <c r="F90" s="915"/>
      <c r="G90" s="122">
        <f>'[1]Detail 2025-26 FEFP Second'!AB3</f>
        <v>958.42</v>
      </c>
      <c r="H90" s="47" t="s">
        <v>68</v>
      </c>
      <c r="I90" s="141">
        <f>ROUND(B90*D90*G90,2)</f>
        <v>0</v>
      </c>
      <c r="J90" s="81"/>
      <c r="K90" s="70"/>
      <c r="L90" s="70"/>
      <c r="M90" s="71"/>
      <c r="N90" s="70"/>
      <c r="O90" s="70"/>
      <c r="P90" s="70"/>
      <c r="Q90" s="70"/>
      <c r="R90" s="238" t="s">
        <v>110</v>
      </c>
      <c r="S90" s="251">
        <f>X12+X13+X18+X21+X24</f>
        <v>0</v>
      </c>
      <c r="T90" s="870">
        <f>X6</f>
        <v>1.0355000000000001</v>
      </c>
      <c r="U90" s="870"/>
      <c r="V90" s="122">
        <f>G90</f>
        <v>958.42</v>
      </c>
      <c r="W90" s="182" t="s">
        <v>68</v>
      </c>
      <c r="X90" s="272">
        <f>ROUND(S90*T90*V90,2)</f>
        <v>0</v>
      </c>
      <c r="Y90" s="205"/>
    </row>
    <row r="91" spans="1:26" ht="21" customHeight="1" x14ac:dyDescent="0.25">
      <c r="A91" s="82" t="s">
        <v>60</v>
      </c>
      <c r="B91" s="245">
        <f>I14+I15+I19+I22+I25</f>
        <v>0</v>
      </c>
      <c r="C91" s="245"/>
      <c r="D91" s="915">
        <f>I6</f>
        <v>1.0355000000000001</v>
      </c>
      <c r="E91" s="915"/>
      <c r="F91" s="915"/>
      <c r="G91" s="122">
        <f>'[1]Detail 2025-26 FEFP Second'!AC3</f>
        <v>915.09</v>
      </c>
      <c r="H91" s="47" t="s">
        <v>68</v>
      </c>
      <c r="I91" s="140">
        <f>ROUND(B91*D91*G91,2)</f>
        <v>0</v>
      </c>
      <c r="K91" s="70"/>
      <c r="L91" s="70"/>
      <c r="M91" s="71"/>
      <c r="N91" s="70"/>
      <c r="O91" s="70"/>
      <c r="P91" s="70"/>
      <c r="Q91" s="70"/>
      <c r="R91" s="206" t="s">
        <v>60</v>
      </c>
      <c r="S91" s="251">
        <f>X14+X15+X19+X22+X25</f>
        <v>0</v>
      </c>
      <c r="T91" s="870">
        <f>X6</f>
        <v>1.0355000000000001</v>
      </c>
      <c r="U91" s="870"/>
      <c r="V91" s="122">
        <f>G91</f>
        <v>915.09</v>
      </c>
      <c r="W91" s="182" t="s">
        <v>68</v>
      </c>
      <c r="X91" s="272">
        <f>ROUND(S91*T91*V91,2)</f>
        <v>0</v>
      </c>
      <c r="Y91" s="170"/>
    </row>
    <row r="92" spans="1:26" ht="19.5" customHeight="1" thickBot="1" x14ac:dyDescent="0.3">
      <c r="A92" s="83" t="s">
        <v>61</v>
      </c>
      <c r="B92" s="109">
        <f>I16+I17+I20+I23+I26+I27</f>
        <v>102.5222</v>
      </c>
      <c r="C92" s="109"/>
      <c r="D92" s="915">
        <f>I6</f>
        <v>1.0355000000000001</v>
      </c>
      <c r="E92" s="915"/>
      <c r="F92" s="915"/>
      <c r="G92" s="122">
        <f>'[1]Detail 2025-26 FEFP Second'!AD3</f>
        <v>917.3</v>
      </c>
      <c r="H92" s="47" t="s">
        <v>68</v>
      </c>
      <c r="I92" s="574">
        <f>ROUND(B92*D92*G92,2)</f>
        <v>97382.16</v>
      </c>
      <c r="K92" s="70"/>
      <c r="L92" s="70"/>
      <c r="M92" s="71"/>
      <c r="N92" s="70"/>
      <c r="O92" s="70"/>
      <c r="P92" s="70"/>
      <c r="Q92" s="70"/>
      <c r="R92" s="207" t="s">
        <v>61</v>
      </c>
      <c r="S92" s="208">
        <f>X16+X17+X20+X23+X26+X27</f>
        <v>0</v>
      </c>
      <c r="T92" s="870">
        <f>X6</f>
        <v>1.0355000000000001</v>
      </c>
      <c r="U92" s="870"/>
      <c r="V92" s="122">
        <f>G92</f>
        <v>917.3</v>
      </c>
      <c r="W92" s="182" t="s">
        <v>68</v>
      </c>
      <c r="X92" s="272">
        <f>ROUND(S92*T92*V92,2)</f>
        <v>0</v>
      </c>
      <c r="Y92" s="170"/>
    </row>
    <row r="93" spans="1:26" ht="18.75" customHeight="1" thickBot="1" x14ac:dyDescent="0.3">
      <c r="A93" s="247" t="s">
        <v>111</v>
      </c>
      <c r="B93" s="109">
        <f>SUM(B90:B92)</f>
        <v>102.5222</v>
      </c>
      <c r="C93" s="109"/>
      <c r="D93" s="109"/>
      <c r="E93" s="867" t="s">
        <v>112</v>
      </c>
      <c r="F93" s="867"/>
      <c r="G93" s="867"/>
      <c r="H93" s="867"/>
      <c r="I93" s="867"/>
      <c r="J93" s="127">
        <f>IF(A1=75,0,I92+I91+I90)</f>
        <v>97382.16</v>
      </c>
      <c r="K93" s="70"/>
      <c r="L93" s="70"/>
      <c r="M93" s="71"/>
      <c r="N93" s="70"/>
      <c r="O93" s="70"/>
      <c r="P93" s="70"/>
      <c r="Q93" s="70"/>
      <c r="R93" s="252" t="s">
        <v>111</v>
      </c>
      <c r="S93" s="210">
        <f>SUM(S90:S92)</f>
        <v>0</v>
      </c>
      <c r="T93" s="874" t="s">
        <v>112</v>
      </c>
      <c r="U93" s="875"/>
      <c r="V93" s="875"/>
      <c r="W93" s="875"/>
      <c r="X93" s="875"/>
      <c r="Y93" s="266">
        <f>IF(R1=75,0,X92+X91+X90)</f>
        <v>0</v>
      </c>
    </row>
    <row r="94" spans="1:26" ht="18" customHeight="1" x14ac:dyDescent="0.25">
      <c r="A94" s="868" t="s">
        <v>113</v>
      </c>
      <c r="B94" s="868"/>
      <c r="C94" s="868"/>
      <c r="D94" s="868"/>
      <c r="E94" s="868"/>
      <c r="F94" s="868"/>
      <c r="G94" s="868"/>
      <c r="H94" s="868"/>
      <c r="I94" s="868"/>
      <c r="J94" s="868"/>
      <c r="K94" s="70"/>
      <c r="L94" s="70"/>
      <c r="M94" s="71"/>
      <c r="N94" s="70"/>
      <c r="O94" s="70"/>
      <c r="P94" s="70"/>
      <c r="Q94" s="70"/>
      <c r="R94" s="876" t="s">
        <v>113</v>
      </c>
      <c r="S94" s="876"/>
      <c r="T94" s="876"/>
      <c r="U94" s="876"/>
      <c r="V94" s="876"/>
      <c r="W94" s="876"/>
      <c r="X94" s="876"/>
      <c r="Y94" s="876"/>
    </row>
    <row r="95" spans="1:26" ht="17.25" customHeight="1" x14ac:dyDescent="0.25">
      <c r="A95" s="841" t="s">
        <v>114</v>
      </c>
      <c r="B95" s="841"/>
      <c r="C95" s="841"/>
      <c r="D95" s="841"/>
      <c r="E95" s="841"/>
      <c r="F95" s="248" t="s">
        <v>115</v>
      </c>
      <c r="G95" s="869"/>
      <c r="H95" s="869"/>
      <c r="I95" s="869"/>
      <c r="J95" s="869"/>
      <c r="K95" s="70"/>
      <c r="L95" s="70"/>
      <c r="M95" s="71"/>
      <c r="N95" s="70"/>
      <c r="O95" s="70"/>
      <c r="P95" s="70"/>
      <c r="Q95" s="70"/>
      <c r="R95" s="758" t="s">
        <v>177</v>
      </c>
      <c r="S95" s="758"/>
      <c r="T95" s="758"/>
      <c r="U95" s="253"/>
      <c r="V95" s="877"/>
      <c r="W95" s="877"/>
      <c r="X95" s="877"/>
      <c r="Y95" s="877"/>
    </row>
    <row r="96" spans="1:26" ht="15" customHeight="1" x14ac:dyDescent="0.25">
      <c r="B96" s="235"/>
      <c r="C96" s="123" t="s">
        <v>159</v>
      </c>
      <c r="D96" s="123" t="s">
        <v>160</v>
      </c>
      <c r="E96" s="917" t="s">
        <v>161</v>
      </c>
      <c r="F96" s="917"/>
      <c r="G96" s="917"/>
      <c r="H96" s="248"/>
      <c r="I96" s="248"/>
      <c r="J96" s="248"/>
      <c r="K96" s="70"/>
      <c r="L96" s="70"/>
      <c r="M96" s="71"/>
      <c r="N96" s="70"/>
      <c r="O96" s="70"/>
      <c r="P96" s="70"/>
      <c r="Q96" s="70"/>
      <c r="R96" s="878" t="s">
        <v>116</v>
      </c>
      <c r="S96" s="878"/>
      <c r="T96" s="872">
        <f>IF(I111=1,E97,0)</f>
        <v>0</v>
      </c>
      <c r="U96" s="872"/>
      <c r="V96" s="872"/>
      <c r="W96" s="261" t="s">
        <v>117</v>
      </c>
      <c r="X96" s="212">
        <f>I97</f>
        <v>617</v>
      </c>
      <c r="Y96" s="266">
        <f>ROUND(X96*T96,2)</f>
        <v>0</v>
      </c>
    </row>
    <row r="97" spans="1:25" ht="17.25" customHeight="1" x14ac:dyDescent="0.25">
      <c r="A97" s="839" t="s">
        <v>116</v>
      </c>
      <c r="B97" s="839"/>
      <c r="C97" s="414">
        <v>0</v>
      </c>
      <c r="D97" s="414">
        <v>0</v>
      </c>
      <c r="E97" s="942">
        <f>(C97+D97)/2</f>
        <v>0</v>
      </c>
      <c r="F97" s="871"/>
      <c r="G97" s="871"/>
      <c r="H97" s="224" t="s">
        <v>117</v>
      </c>
      <c r="I97" s="130">
        <f>IF(A1&gt;67,0,INDEX('[1]Transportation Per Student'!F$1:F$65536,MATCH(A1,'[1]Transportation Per Student'!B$1:B$65536)))</f>
        <v>617</v>
      </c>
      <c r="J97" s="138">
        <f>ROUND(I97*E97,2)</f>
        <v>0</v>
      </c>
      <c r="K97" s="70"/>
      <c r="L97" s="70"/>
      <c r="M97" s="71"/>
      <c r="N97" s="70"/>
      <c r="O97" s="70"/>
      <c r="P97" s="70"/>
      <c r="Q97" s="70"/>
      <c r="R97" s="878" t="s">
        <v>118</v>
      </c>
      <c r="S97" s="878"/>
      <c r="T97" s="872">
        <f>IF(I112=1,E98,0)</f>
        <v>0</v>
      </c>
      <c r="U97" s="872"/>
      <c r="V97" s="872"/>
      <c r="W97" s="261" t="s">
        <v>117</v>
      </c>
      <c r="X97" s="212">
        <f>I98</f>
        <v>1870</v>
      </c>
      <c r="Y97" s="266">
        <f>ROUND(X97*T97,2)</f>
        <v>0</v>
      </c>
    </row>
    <row r="98" spans="1:25" ht="17.25" customHeight="1" x14ac:dyDescent="0.25">
      <c r="A98" s="839" t="s">
        <v>118</v>
      </c>
      <c r="B98" s="839"/>
      <c r="C98" s="279">
        <v>0</v>
      </c>
      <c r="D98" s="279">
        <v>0</v>
      </c>
      <c r="E98" s="942">
        <f>(C98+D98)/2</f>
        <v>0</v>
      </c>
      <c r="F98" s="871"/>
      <c r="G98" s="871"/>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41" t="s">
        <v>119</v>
      </c>
      <c r="B100" s="841"/>
      <c r="C100" s="841"/>
      <c r="D100" s="841"/>
      <c r="E100" s="841"/>
      <c r="F100" s="223" t="s">
        <v>120</v>
      </c>
      <c r="G100" s="817"/>
      <c r="H100" s="817"/>
      <c r="I100" s="817"/>
      <c r="J100" s="817"/>
      <c r="K100" s="70"/>
      <c r="L100" s="70"/>
      <c r="M100" s="71"/>
      <c r="N100" s="70"/>
      <c r="O100" s="70"/>
      <c r="P100" s="70"/>
      <c r="Q100" s="70"/>
      <c r="R100" s="758" t="s">
        <v>178</v>
      </c>
      <c r="S100" s="758"/>
      <c r="T100" s="758"/>
      <c r="U100" s="239"/>
      <c r="V100" s="855"/>
      <c r="W100" s="855"/>
      <c r="X100" s="855"/>
      <c r="Y100" s="855"/>
    </row>
    <row r="101" spans="1:25" ht="44.25" customHeight="1" x14ac:dyDescent="0.25">
      <c r="A101" s="861" t="s">
        <v>121</v>
      </c>
      <c r="B101" s="861"/>
      <c r="C101" s="249"/>
      <c r="D101" s="916" t="s">
        <v>122</v>
      </c>
      <c r="E101" s="916"/>
      <c r="F101" s="916"/>
      <c r="G101" s="862" t="s">
        <v>123</v>
      </c>
      <c r="H101" s="862"/>
      <c r="I101" s="250" t="s">
        <v>124</v>
      </c>
      <c r="J101" s="249" t="s">
        <v>125</v>
      </c>
      <c r="K101" s="70"/>
      <c r="L101" s="70"/>
      <c r="M101" s="70"/>
      <c r="N101" s="70"/>
      <c r="O101" s="70"/>
      <c r="P101" s="70"/>
      <c r="Q101" s="70"/>
      <c r="R101" s="859" t="s">
        <v>121</v>
      </c>
      <c r="S101" s="859"/>
      <c r="T101" s="865" t="s">
        <v>122</v>
      </c>
      <c r="U101" s="865"/>
      <c r="V101" s="866" t="s">
        <v>123</v>
      </c>
      <c r="W101" s="866"/>
      <c r="X101" s="246" t="s">
        <v>124</v>
      </c>
      <c r="Y101" s="242" t="s">
        <v>125</v>
      </c>
    </row>
    <row r="102" spans="1:25" ht="16.5" customHeight="1" x14ac:dyDescent="0.25">
      <c r="A102" s="757" t="s">
        <v>126</v>
      </c>
      <c r="B102" s="757"/>
      <c r="C102" s="230"/>
      <c r="D102" s="273"/>
      <c r="E102" s="273"/>
      <c r="F102" s="273"/>
      <c r="G102" s="893">
        <f>IF(E102=0,0,INDEX('[1]Detail 2025-26 FEFP Second'!V$1:V$65536,MATCH(A1,'[1]Detail 2025-26 FEFP Second'!A$1:A$65536)))</f>
        <v>0</v>
      </c>
      <c r="H102" s="893"/>
      <c r="I102" s="88">
        <f>IF(E102=0,0,'[1]Detail 2025-26 FEFP Second'!AL3)</f>
        <v>0</v>
      </c>
      <c r="J102" s="62">
        <f>ROUND((I102+G102)*E102,0)</f>
        <v>0</v>
      </c>
      <c r="L102" s="3"/>
      <c r="M102" s="2"/>
      <c r="Q102" s="4"/>
      <c r="R102" s="756" t="s">
        <v>126</v>
      </c>
      <c r="S102" s="756"/>
      <c r="T102" s="858">
        <f>IF('[1]All charter school calculator'!X102=1,'[1]All charter school calculator'!T100:U100,0)</f>
        <v>0</v>
      </c>
      <c r="U102" s="858"/>
      <c r="V102" s="864">
        <f>IF(T102=0,0,INDEX('[1]Detail 2025-26 FEFP Second'!AM$1:AM$65536,MATCH(R1,'[1]Detail 2025-26 FEFP Second'!R$1:R$65536)))</f>
        <v>0</v>
      </c>
      <c r="W102" s="864"/>
      <c r="X102" s="214">
        <f>IF(T102=0,0,'[1]Detail 2025-26 FEFP Second'!BC3)</f>
        <v>0</v>
      </c>
      <c r="Y102" s="157">
        <f>ROUND((X102+V102)*T102,0)</f>
        <v>0</v>
      </c>
    </row>
    <row r="103" spans="1:25" ht="15.75" customHeight="1" x14ac:dyDescent="0.25">
      <c r="A103" s="757" t="s">
        <v>127</v>
      </c>
      <c r="B103" s="757"/>
      <c r="C103" s="230"/>
      <c r="D103" s="273"/>
      <c r="E103" s="273"/>
      <c r="F103" s="273"/>
      <c r="G103" s="894">
        <f>ROUND(G102/2,2)</f>
        <v>0</v>
      </c>
      <c r="H103" s="894"/>
      <c r="I103" s="88">
        <f>IF(E103=0,0,ROUND('[1]Detail 2025-26 FEFP Second'!AL3/2,2))</f>
        <v>0</v>
      </c>
      <c r="J103" s="62">
        <f>ROUND((I103+G103)*E103,0)</f>
        <v>0</v>
      </c>
      <c r="R103" s="756" t="s">
        <v>127</v>
      </c>
      <c r="S103" s="756"/>
      <c r="T103" s="858">
        <f>IF('[1]All charter school calculator'!X103=1,'[1]All charter school calculator'!T100:U100,0)</f>
        <v>0</v>
      </c>
      <c r="U103" s="858"/>
      <c r="V103" s="863">
        <f>ROUND(V102/2,2)</f>
        <v>0</v>
      </c>
      <c r="W103" s="863"/>
      <c r="X103" s="214">
        <f>IF(T103=0,0,ROUND('[1]Detail 2025-26 FEFP Second'!BC3/2,2))</f>
        <v>0</v>
      </c>
      <c r="Y103" s="157">
        <f>ROUND((X103+V103)*T103,0)</f>
        <v>0</v>
      </c>
    </row>
    <row r="104" spans="1:25" ht="15.75" customHeight="1" thickBot="1" x14ac:dyDescent="0.3">
      <c r="A104" s="764" t="s">
        <v>128</v>
      </c>
      <c r="B104" s="764"/>
      <c r="C104" s="231"/>
      <c r="D104" s="278"/>
      <c r="E104" s="278"/>
      <c r="F104" s="278"/>
      <c r="G104" s="891"/>
      <c r="H104" s="891"/>
      <c r="I104" s="89">
        <f>IF(I102&gt;0,'[1]Detail 2025-26 FEFP Second'!AM3,0)</f>
        <v>0</v>
      </c>
      <c r="J104" s="30">
        <f>ROUND(I104*E104,0)</f>
        <v>0</v>
      </c>
      <c r="R104" s="763" t="s">
        <v>128</v>
      </c>
      <c r="S104" s="763"/>
      <c r="T104" s="858">
        <f>IF('[1]All charter school calculator'!X104=1,'[1]All charter school calculator'!T100:U100,0)</f>
        <v>0</v>
      </c>
      <c r="U104" s="858"/>
      <c r="V104" s="859"/>
      <c r="W104" s="859"/>
      <c r="X104" s="215">
        <f>IF(X102&gt;0,'[1]Detail 2025-26 FEFP Second'!BD3,0)</f>
        <v>0</v>
      </c>
      <c r="Y104" s="163">
        <f>ROUND(X104*T104,0)</f>
        <v>0</v>
      </c>
    </row>
    <row r="105" spans="1:25" ht="24.75" customHeight="1" thickBot="1" x14ac:dyDescent="0.3">
      <c r="A105" s="817" t="s">
        <v>125</v>
      </c>
      <c r="B105" s="817"/>
      <c r="C105" s="223"/>
      <c r="D105" s="223"/>
      <c r="E105" s="90"/>
      <c r="F105" s="90"/>
      <c r="G105" s="90"/>
      <c r="H105" s="90"/>
      <c r="I105" s="90"/>
      <c r="J105" s="91">
        <f>SUM(J102:J104)</f>
        <v>0</v>
      </c>
      <c r="R105" s="855" t="s">
        <v>125</v>
      </c>
      <c r="S105" s="855"/>
      <c r="T105" s="216"/>
      <c r="U105" s="216"/>
      <c r="V105" s="216"/>
      <c r="W105" s="216"/>
      <c r="X105" s="216"/>
      <c r="Y105" s="217">
        <f>SUM(Y102:Y104)</f>
        <v>0</v>
      </c>
    </row>
    <row r="106" spans="1:25" ht="26.25" customHeight="1" x14ac:dyDescent="0.25">
      <c r="A106" s="841" t="s">
        <v>129</v>
      </c>
      <c r="B106" s="841"/>
      <c r="C106" s="841"/>
      <c r="D106" s="841"/>
      <c r="E106" s="841"/>
      <c r="F106" s="258" t="s">
        <v>130</v>
      </c>
      <c r="G106" s="892"/>
      <c r="H106" s="892"/>
      <c r="I106" s="892"/>
      <c r="J106" s="93"/>
      <c r="K106" s="94"/>
      <c r="L106" s="94"/>
      <c r="M106" s="94"/>
      <c r="N106" s="94"/>
      <c r="O106" s="94"/>
      <c r="P106" s="94"/>
      <c r="Q106" s="94"/>
      <c r="R106" s="758" t="s">
        <v>179</v>
      </c>
      <c r="S106" s="758"/>
      <c r="T106" s="758"/>
      <c r="U106" s="241"/>
      <c r="V106" s="856"/>
      <c r="W106" s="856"/>
      <c r="X106" s="856"/>
      <c r="Y106" s="157">
        <f>IF('[1]All charter school calculator'!X109=1,'[1]All charter school calculator'!Y104,0)</f>
        <v>0</v>
      </c>
    </row>
    <row r="107" spans="1:25" ht="30" customHeight="1" thickBot="1" x14ac:dyDescent="0.3">
      <c r="A107" s="946" t="s">
        <v>125</v>
      </c>
      <c r="B107" s="946"/>
      <c r="C107" s="946"/>
      <c r="D107" s="946"/>
      <c r="E107" s="946"/>
      <c r="F107" s="946"/>
      <c r="G107" s="946"/>
      <c r="H107" s="946"/>
      <c r="I107" s="946"/>
      <c r="J107" s="579">
        <f>SUM(J106,J105,J98,J97,J93,J86,J85,J71,J70,J68,J33,J72,J50,J87,J84)</f>
        <v>853720.57000000007</v>
      </c>
      <c r="L107" s="575"/>
      <c r="R107" s="758" t="s">
        <v>125</v>
      </c>
      <c r="S107" s="758"/>
      <c r="T107" s="758"/>
      <c r="U107" s="758"/>
      <c r="V107" s="758"/>
      <c r="W107" s="758"/>
      <c r="X107" s="758"/>
      <c r="Y107" s="219">
        <f>SUM(Y106,Y105,Y97,Y96,Y93,Y86,Y85,Y84,Y70,Y69,Y67,Y33,Y71,Y50,Y87,Y83)</f>
        <v>0</v>
      </c>
    </row>
    <row r="108" spans="1:25" ht="15.75" customHeight="1" thickTop="1" x14ac:dyDescent="0.25">
      <c r="A108" s="944"/>
      <c r="B108" s="944"/>
      <c r="C108" s="944"/>
      <c r="D108" s="944"/>
      <c r="E108" s="944"/>
      <c r="F108" s="944"/>
      <c r="G108" s="944"/>
      <c r="H108" s="944"/>
      <c r="I108" s="944"/>
      <c r="J108" s="944"/>
      <c r="R108" s="855"/>
      <c r="S108" s="855"/>
      <c r="T108" s="855"/>
      <c r="U108" s="855"/>
      <c r="V108" s="855"/>
      <c r="W108" s="855"/>
      <c r="X108" s="855"/>
      <c r="Y108" s="855"/>
    </row>
    <row r="109" spans="1:25" ht="17.25" customHeight="1" thickBot="1" x14ac:dyDescent="0.3">
      <c r="A109" s="945" t="s">
        <v>131</v>
      </c>
      <c r="B109" s="945"/>
      <c r="C109" s="945"/>
      <c r="D109" s="945"/>
      <c r="E109" s="945"/>
      <c r="F109" s="944"/>
      <c r="G109" s="944"/>
      <c r="H109" s="944"/>
      <c r="I109" s="580" t="s">
        <v>132</v>
      </c>
      <c r="J109" s="581">
        <f>J107-J38</f>
        <v>812597.28</v>
      </c>
      <c r="R109" s="170" t="s">
        <v>180</v>
      </c>
      <c r="S109" s="170"/>
      <c r="T109" s="170"/>
      <c r="U109" s="170"/>
      <c r="V109" s="170"/>
      <c r="W109" s="170"/>
      <c r="X109" s="170"/>
      <c r="Y109" s="220">
        <f>Y107-Y38</f>
        <v>0</v>
      </c>
    </row>
    <row r="110" spans="1:25" ht="18.75" customHeight="1" thickTop="1" x14ac:dyDescent="0.25">
      <c r="A110" s="945" t="s">
        <v>133</v>
      </c>
      <c r="B110" s="945"/>
      <c r="C110" s="945"/>
      <c r="D110" s="945"/>
      <c r="E110" s="945"/>
      <c r="F110" s="945"/>
      <c r="G110" s="945"/>
      <c r="H110" s="945"/>
      <c r="I110" s="582" t="s">
        <v>134</v>
      </c>
      <c r="J110" s="580"/>
      <c r="R110" s="851" t="s">
        <v>136</v>
      </c>
      <c r="S110" s="851"/>
      <c r="T110" s="851"/>
      <c r="U110" s="851"/>
      <c r="V110" s="851"/>
      <c r="W110" s="851"/>
      <c r="X110" s="851"/>
      <c r="Y110" s="851"/>
    </row>
    <row r="111" spans="1:25" ht="15.75" customHeight="1" x14ac:dyDescent="0.25">
      <c r="A111" s="943" t="s">
        <v>135</v>
      </c>
      <c r="B111" s="943"/>
      <c r="C111" s="943"/>
      <c r="D111" s="943"/>
      <c r="E111" s="943"/>
      <c r="F111" s="943"/>
      <c r="G111" s="943"/>
      <c r="H111" s="943"/>
      <c r="I111" s="585">
        <v>0</v>
      </c>
      <c r="J111" s="137">
        <f>Y109</f>
        <v>0</v>
      </c>
      <c r="R111" s="850" t="s">
        <v>181</v>
      </c>
      <c r="S111" s="850"/>
      <c r="T111" s="850"/>
      <c r="U111" s="850"/>
      <c r="V111" s="850"/>
      <c r="W111" s="850"/>
      <c r="X111" s="850"/>
      <c r="Y111" s="850"/>
    </row>
    <row r="112" spans="1:25" ht="15.75" customHeight="1" x14ac:dyDescent="0.25">
      <c r="A112" s="237"/>
      <c r="B112" s="237"/>
      <c r="C112" s="237"/>
      <c r="D112" s="237"/>
      <c r="E112" s="237"/>
      <c r="F112" s="237"/>
      <c r="G112" s="237"/>
      <c r="H112" s="237"/>
      <c r="I112" s="90"/>
      <c r="J112" s="72"/>
      <c r="R112" s="851" t="s">
        <v>182</v>
      </c>
      <c r="S112" s="851"/>
      <c r="T112" s="851"/>
      <c r="U112" s="851"/>
      <c r="V112" s="851"/>
      <c r="W112" s="851"/>
      <c r="X112" s="851"/>
      <c r="Y112" s="851"/>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812597.28</v>
      </c>
      <c r="J114" s="296">
        <f>ROUND(IF(E28=0,0,IF(E28&gt;250,-(((250/E28)*I114)*IF(H113="H",0.02,0.05)),IF(H113="H",-0.02*I114,-0.05*I114))),2)</f>
        <v>-40629.86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813090.71000000008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Payments'!R118</f>
        <v>-133178.03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679912.68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67991.27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895" t="s">
        <v>136</v>
      </c>
      <c r="B128" s="895"/>
      <c r="C128" s="895"/>
      <c r="D128" s="895"/>
      <c r="E128" s="895"/>
      <c r="F128" s="895"/>
      <c r="G128" s="895"/>
      <c r="H128" s="895"/>
      <c r="I128" s="895"/>
      <c r="J128" s="895"/>
      <c r="R128" s="284"/>
      <c r="S128" s="284"/>
      <c r="T128" s="285"/>
      <c r="U128" s="285"/>
      <c r="V128" s="285"/>
      <c r="W128" s="286"/>
      <c r="X128" s="285"/>
      <c r="Y128" s="285"/>
    </row>
    <row r="129" spans="1:25" ht="26.25" customHeight="1" x14ac:dyDescent="0.25">
      <c r="A129" s="903" t="s">
        <v>137</v>
      </c>
      <c r="B129" s="903"/>
      <c r="C129" s="903"/>
      <c r="D129" s="903"/>
      <c r="E129" s="903"/>
      <c r="F129" s="903"/>
      <c r="G129" s="903"/>
      <c r="H129" s="903"/>
      <c r="I129" s="903"/>
      <c r="J129" s="903"/>
      <c r="R129" s="284"/>
      <c r="S129" s="284"/>
      <c r="T129" s="285"/>
      <c r="U129" s="285"/>
      <c r="V129" s="285"/>
      <c r="W129" s="286"/>
      <c r="X129" s="285"/>
      <c r="Y129" s="285"/>
    </row>
    <row r="130" spans="1:25" ht="15.75" customHeight="1" x14ac:dyDescent="0.25">
      <c r="A130" s="895" t="s">
        <v>138</v>
      </c>
      <c r="B130" s="895"/>
      <c r="C130" s="895"/>
      <c r="D130" s="895"/>
      <c r="E130" s="895"/>
      <c r="F130" s="895"/>
      <c r="G130" s="895"/>
      <c r="H130" s="895"/>
      <c r="I130" s="895"/>
      <c r="J130" s="895"/>
    </row>
    <row r="131" spans="1:25" ht="15.75" customHeight="1" x14ac:dyDescent="0.25">
      <c r="A131" s="895" t="s">
        <v>139</v>
      </c>
      <c r="B131" s="895"/>
      <c r="C131" s="895"/>
      <c r="D131" s="895"/>
      <c r="E131" s="895"/>
      <c r="F131" s="895"/>
      <c r="G131" s="895"/>
      <c r="H131" s="895"/>
      <c r="I131" s="895"/>
      <c r="J131" s="895"/>
    </row>
    <row r="132" spans="1:25" ht="19.5" customHeight="1" x14ac:dyDescent="0.25">
      <c r="A132" s="895" t="s">
        <v>140</v>
      </c>
      <c r="B132" s="895"/>
      <c r="C132" s="895"/>
      <c r="D132" s="895"/>
      <c r="E132" s="895"/>
      <c r="F132" s="895"/>
      <c r="G132" s="895"/>
      <c r="H132" s="895"/>
      <c r="I132" s="895"/>
      <c r="J132" s="895"/>
    </row>
    <row r="133" spans="1:25" x14ac:dyDescent="0.25">
      <c r="A133" s="895" t="s">
        <v>141</v>
      </c>
      <c r="B133" s="895"/>
      <c r="C133" s="895"/>
      <c r="D133" s="895"/>
      <c r="E133" s="895"/>
      <c r="F133" s="895"/>
      <c r="G133" s="895"/>
      <c r="H133" s="895"/>
      <c r="I133" s="895"/>
      <c r="J133" s="895"/>
    </row>
    <row r="134" spans="1:25" x14ac:dyDescent="0.25">
      <c r="A134" s="895" t="s">
        <v>142</v>
      </c>
      <c r="B134" s="895"/>
      <c r="C134" s="895"/>
      <c r="D134" s="895"/>
      <c r="E134" s="895"/>
      <c r="F134" s="895"/>
      <c r="G134" s="895"/>
      <c r="H134" s="895"/>
      <c r="I134" s="895"/>
      <c r="J134" s="895"/>
    </row>
    <row r="135" spans="1:25" ht="33" customHeight="1" x14ac:dyDescent="0.25">
      <c r="A135" s="903" t="s">
        <v>143</v>
      </c>
      <c r="B135" s="903"/>
      <c r="C135" s="903"/>
      <c r="D135" s="903"/>
      <c r="E135" s="903"/>
      <c r="F135" s="903"/>
      <c r="G135" s="903"/>
      <c r="H135" s="903"/>
      <c r="I135" s="903"/>
      <c r="J135" s="903"/>
    </row>
    <row r="136" spans="1:25" ht="31.5" customHeight="1" x14ac:dyDescent="0.25">
      <c r="A136" s="903" t="s">
        <v>144</v>
      </c>
      <c r="B136" s="903"/>
      <c r="C136" s="903"/>
      <c r="D136" s="903"/>
      <c r="E136" s="903"/>
      <c r="F136" s="903"/>
      <c r="G136" s="903"/>
      <c r="H136" s="903"/>
      <c r="I136" s="903"/>
      <c r="J136" s="903"/>
    </row>
    <row r="137" spans="1:25" x14ac:dyDescent="0.25">
      <c r="A137" s="903" t="s">
        <v>145</v>
      </c>
      <c r="B137" s="903"/>
      <c r="C137" s="903"/>
      <c r="D137" s="903"/>
      <c r="E137" s="903"/>
      <c r="F137" s="903"/>
      <c r="G137" s="903"/>
      <c r="H137" s="903"/>
      <c r="I137" s="903"/>
      <c r="J137" s="903"/>
    </row>
    <row r="138" spans="1:25" x14ac:dyDescent="0.25">
      <c r="A138" s="259" t="s">
        <v>146</v>
      </c>
      <c r="B138" s="259"/>
      <c r="C138" s="259"/>
      <c r="D138" s="259"/>
      <c r="E138" s="259"/>
      <c r="F138" s="259"/>
      <c r="G138" s="259"/>
      <c r="H138" s="259"/>
      <c r="I138" s="259"/>
      <c r="J138" s="259"/>
    </row>
    <row r="139" spans="1:25" ht="30.75" customHeight="1" x14ac:dyDescent="0.25">
      <c r="A139" s="903" t="s">
        <v>147</v>
      </c>
      <c r="B139" s="903"/>
      <c r="C139" s="903"/>
      <c r="D139" s="903"/>
      <c r="E139" s="903"/>
      <c r="F139" s="903"/>
      <c r="G139" s="903"/>
      <c r="H139" s="903"/>
      <c r="I139" s="903"/>
      <c r="J139" s="903"/>
    </row>
    <row r="140" spans="1:25" ht="30.75" customHeight="1" x14ac:dyDescent="0.25">
      <c r="A140" s="903" t="s">
        <v>148</v>
      </c>
      <c r="B140" s="903"/>
      <c r="C140" s="903"/>
      <c r="D140" s="903"/>
      <c r="E140" s="903"/>
      <c r="F140" s="903"/>
      <c r="G140" s="903"/>
      <c r="H140" s="903"/>
      <c r="I140" s="903"/>
      <c r="J140" s="903"/>
    </row>
    <row r="141" spans="1:25" x14ac:dyDescent="0.25">
      <c r="A141" s="908" t="s">
        <v>149</v>
      </c>
      <c r="B141" s="903"/>
      <c r="C141" s="903"/>
      <c r="D141" s="903"/>
      <c r="E141" s="903"/>
      <c r="F141" s="903"/>
      <c r="G141" s="903"/>
      <c r="H141" s="903"/>
      <c r="I141" s="903"/>
      <c r="J141" s="903"/>
    </row>
    <row r="142" spans="1:25" ht="60.75" customHeight="1" x14ac:dyDescent="0.25">
      <c r="A142" s="909" t="s">
        <v>150</v>
      </c>
      <c r="B142" s="909"/>
      <c r="C142" s="909"/>
      <c r="D142" s="909"/>
      <c r="E142" s="909"/>
      <c r="F142" s="909"/>
      <c r="G142" s="909"/>
      <c r="H142" s="909"/>
      <c r="I142" s="909"/>
      <c r="J142" s="909"/>
    </row>
    <row r="143" spans="1:25" ht="48" customHeight="1" x14ac:dyDescent="0.25">
      <c r="A143" s="909" t="s">
        <v>151</v>
      </c>
      <c r="B143" s="909"/>
      <c r="C143" s="909"/>
      <c r="D143" s="909"/>
      <c r="E143" s="909"/>
      <c r="F143" s="909"/>
      <c r="G143" s="909"/>
      <c r="H143" s="909"/>
      <c r="I143" s="909"/>
      <c r="J143" s="909"/>
    </row>
    <row r="144" spans="1:25" x14ac:dyDescent="0.25">
      <c r="A144" s="908" t="s">
        <v>152</v>
      </c>
      <c r="B144" s="908"/>
      <c r="C144" s="908"/>
      <c r="D144" s="908"/>
      <c r="E144" s="908"/>
      <c r="F144" s="908"/>
      <c r="G144" s="908"/>
      <c r="H144" s="908"/>
      <c r="I144" s="908"/>
      <c r="J144" s="908"/>
    </row>
    <row r="145" spans="1:10" ht="32.25" customHeight="1" x14ac:dyDescent="0.25">
      <c r="A145" s="909" t="s">
        <v>153</v>
      </c>
      <c r="B145" s="909"/>
      <c r="C145" s="909"/>
      <c r="D145" s="909"/>
      <c r="E145" s="909"/>
      <c r="F145" s="909"/>
      <c r="G145" s="909"/>
      <c r="H145" s="909"/>
      <c r="I145" s="909"/>
      <c r="J145" s="909"/>
    </row>
    <row r="146" spans="1:10" ht="23.25" customHeight="1" x14ac:dyDescent="0.25">
      <c r="A146" s="910" t="s">
        <v>154</v>
      </c>
      <c r="B146" s="910"/>
      <c r="C146" s="910"/>
      <c r="D146" s="910"/>
      <c r="E146" s="910"/>
      <c r="F146" s="910"/>
      <c r="G146" s="910"/>
      <c r="H146" s="910"/>
      <c r="I146" s="910"/>
      <c r="J146" s="910"/>
    </row>
    <row r="147" spans="1:10" x14ac:dyDescent="0.25">
      <c r="A147" s="910"/>
      <c r="B147" s="910"/>
      <c r="C147" s="910"/>
      <c r="D147" s="910"/>
      <c r="E147" s="910"/>
      <c r="F147" s="910"/>
      <c r="G147" s="910"/>
      <c r="H147" s="910"/>
      <c r="I147" s="910"/>
      <c r="J147" s="910"/>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54</vt:i4>
      </vt:variant>
      <vt:variant>
        <vt:lpstr>Named Ranges</vt:lpstr>
      </vt:variant>
      <vt:variant>
        <vt:i4>2012</vt:i4>
      </vt:variant>
    </vt:vector>
  </HeadingPairs>
  <TitlesOfParts>
    <vt:vector size="2066" baseType="lpstr">
      <vt:lpstr>Net Payment</vt:lpstr>
      <vt:lpstr>Annual Rev &amp; Fees</vt:lpstr>
      <vt:lpstr>Charter Schools</vt:lpstr>
      <vt:lpstr>Consolidated</vt:lpstr>
      <vt:lpstr>Cumulative Payments</vt:lpstr>
      <vt:lpstr>0040</vt:lpstr>
      <vt:lpstr>0100</vt:lpstr>
      <vt:lpstr>1461</vt:lpstr>
      <vt:lpstr>1571</vt:lpstr>
      <vt:lpstr>2521</vt:lpstr>
      <vt:lpstr>2531</vt:lpstr>
      <vt:lpstr>2791</vt:lpstr>
      <vt:lpstr>2801</vt:lpstr>
      <vt:lpstr>2911</vt:lpstr>
      <vt:lpstr>2941</vt:lpstr>
      <vt:lpstr>3083</vt:lpstr>
      <vt:lpstr>3345</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'0100'!_1</vt:lpstr>
      <vt:lpstr>'1461'!_1</vt:lpstr>
      <vt:lpstr>'1571'!_1</vt:lpstr>
      <vt:lpstr>'2521'!_1</vt:lpstr>
      <vt:lpstr>'2531'!_1</vt:lpstr>
      <vt:lpstr>'2791'!_1</vt:lpstr>
      <vt:lpstr>'2801'!_1</vt:lpstr>
      <vt:lpstr>'2911'!_1</vt:lpstr>
      <vt:lpstr>'2941'!_1</vt:lpstr>
      <vt:lpstr>'3083'!_1</vt:lpstr>
      <vt:lpstr>'3345'!_1</vt:lpstr>
      <vt:lpstr>'3381'!_1</vt:lpstr>
      <vt:lpstr>'3382'!_1</vt:lpstr>
      <vt:lpstr>'3391'!_1</vt:lpstr>
      <vt:lpstr>'3394'!_1</vt:lpstr>
      <vt:lpstr>'3395'!_1</vt:lpstr>
      <vt:lpstr>'3396'!_1</vt:lpstr>
      <vt:lpstr>'3398'!_1</vt:lpstr>
      <vt:lpstr>'3400'!_1</vt:lpstr>
      <vt:lpstr>'3401'!_1</vt:lpstr>
      <vt:lpstr>'3413'!_1</vt:lpstr>
      <vt:lpstr>'3421'!_1</vt:lpstr>
      <vt:lpstr>'3431'!_1</vt:lpstr>
      <vt:lpstr>'3441'!_1</vt:lpstr>
      <vt:lpstr>'3924'!_1</vt:lpstr>
      <vt:lpstr>'3941'!_1</vt:lpstr>
      <vt:lpstr>'3961'!_1</vt:lpstr>
      <vt:lpstr>'3971'!_1</vt:lpstr>
      <vt:lpstr>'4001'!_1</vt:lpstr>
      <vt:lpstr>'4002'!_1</vt:lpstr>
      <vt:lpstr>'4012'!_1</vt:lpstr>
      <vt:lpstr>'4013'!_1</vt:lpstr>
      <vt:lpstr>'4020'!_1</vt:lpstr>
      <vt:lpstr>'4030'!_1</vt:lpstr>
      <vt:lpstr>'4031'!_1</vt:lpstr>
      <vt:lpstr>'4041'!_1</vt:lpstr>
      <vt:lpstr>'4050'!_1</vt:lpstr>
      <vt:lpstr>'4051'!_1</vt:lpstr>
      <vt:lpstr>'4061'!_1</vt:lpstr>
      <vt:lpstr>'4080'!_1</vt:lpstr>
      <vt:lpstr>'4081'!_1</vt:lpstr>
      <vt:lpstr>'4090'!_1</vt:lpstr>
      <vt:lpstr>'4091'!_1</vt:lpstr>
      <vt:lpstr>'4100'!_1</vt:lpstr>
      <vt:lpstr>'4102'!_1</vt:lpstr>
      <vt:lpstr>'4103'!_1</vt:lpstr>
      <vt:lpstr>'4111'!_1</vt:lpstr>
      <vt:lpstr>'4131'!_1</vt:lpstr>
      <vt:lpstr>_1</vt:lpstr>
      <vt:lpstr>'0100'!_1.__2009_10_FEFP_State_and_Local_Funding</vt:lpstr>
      <vt:lpstr>'1461'!_1.__2009_10_FEFP_State_and_Local_Funding</vt:lpstr>
      <vt:lpstr>'1571'!_1.__2009_10_FEFP_State_and_Local_Funding</vt:lpstr>
      <vt:lpstr>'2521'!_1.__2009_10_FEFP_State_and_Local_Funding</vt:lpstr>
      <vt:lpstr>'2531'!_1.__2009_10_FEFP_State_and_Local_Funding</vt:lpstr>
      <vt:lpstr>'2791'!_1.__2009_10_FEFP_State_and_Local_Funding</vt:lpstr>
      <vt:lpstr>'2801'!_1.__2009_10_FEFP_State_and_Local_Funding</vt:lpstr>
      <vt:lpstr>'2911'!_1.__2009_10_FEFP_State_and_Local_Funding</vt:lpstr>
      <vt:lpstr>'2941'!_1.__2009_10_FEFP_State_and_Local_Funding</vt:lpstr>
      <vt:lpstr>'3083'!_1.__2009_10_FEFP_State_and_Local_Funding</vt:lpstr>
      <vt:lpstr>'3345'!_1.__2009_10_FEFP_State_and_Local_Funding</vt:lpstr>
      <vt:lpstr>'3381'!_1.__2009_10_FEFP_State_and_Local_Funding</vt:lpstr>
      <vt:lpstr>'3382'!_1.__2009_10_FEFP_State_and_Local_Funding</vt:lpstr>
      <vt:lpstr>'3391'!_1.__2009_10_FEFP_State_and_Local_Funding</vt:lpstr>
      <vt:lpstr>'3394'!_1.__2009_10_FEFP_State_and_Local_Funding</vt:lpstr>
      <vt:lpstr>'3395'!_1.__2009_10_FEFP_State_and_Local_Funding</vt:lpstr>
      <vt:lpstr>'3396'!_1.__2009_10_FEFP_State_and_Local_Funding</vt:lpstr>
      <vt:lpstr>'3398'!_1.__2009_10_FEFP_State_and_Local_Funding</vt:lpstr>
      <vt:lpstr>'3400'!_1.__2009_10_FEFP_State_and_Local_Funding</vt:lpstr>
      <vt:lpstr>'3401'!_1.__2009_10_FEFP_State_and_Local_Funding</vt:lpstr>
      <vt:lpstr>'3413'!_1.__2009_10_FEFP_State_and_Local_Funding</vt:lpstr>
      <vt:lpstr>'3421'!_1.__2009_10_FEFP_State_and_Local_Funding</vt:lpstr>
      <vt:lpstr>'3431'!_1.__2009_10_FEFP_State_and_Local_Funding</vt:lpstr>
      <vt:lpstr>'3441'!_1.__2009_10_FEFP_State_and_Local_Funding</vt:lpstr>
      <vt:lpstr>'3924'!_1.__2009_10_FEFP_State_and_Local_Funding</vt:lpstr>
      <vt:lpstr>'3941'!_1.__2009_10_FEFP_State_and_Local_Funding</vt:lpstr>
      <vt:lpstr>'3961'!_1.__2009_10_FEFP_State_and_Local_Funding</vt:lpstr>
      <vt:lpstr>'3971'!_1.__2009_10_FEFP_State_and_Local_Funding</vt:lpstr>
      <vt:lpstr>'4001'!_1.__2009_10_FEFP_State_and_Local_Funding</vt:lpstr>
      <vt:lpstr>'4002'!_1.__2009_10_FEFP_State_and_Local_Funding</vt:lpstr>
      <vt:lpstr>'4012'!_1.__2009_10_FEFP_State_and_Local_Funding</vt:lpstr>
      <vt:lpstr>'4013'!_1.__2009_10_FEFP_State_and_Local_Funding</vt:lpstr>
      <vt:lpstr>'4020'!_1.__2009_10_FEFP_State_and_Local_Funding</vt:lpstr>
      <vt:lpstr>'4030'!_1.__2009_10_FEFP_State_and_Local_Funding</vt:lpstr>
      <vt:lpstr>'4031'!_1.__2009_10_FEFP_State_and_Local_Funding</vt:lpstr>
      <vt:lpstr>'4041'!_1.__2009_10_FEFP_State_and_Local_Funding</vt:lpstr>
      <vt:lpstr>'4050'!_1.__2009_10_FEFP_State_and_Local_Funding</vt:lpstr>
      <vt:lpstr>'4051'!_1.__2009_10_FEFP_State_and_Local_Funding</vt:lpstr>
      <vt:lpstr>'4061'!_1.__2009_10_FEFP_State_and_Local_Funding</vt:lpstr>
      <vt:lpstr>'4080'!_1.__2009_10_FEFP_State_and_Local_Funding</vt:lpstr>
      <vt:lpstr>'4081'!_1.__2009_10_FEFP_State_and_Local_Funding</vt:lpstr>
      <vt:lpstr>'4090'!_1.__2009_10_FEFP_State_and_Local_Funding</vt:lpstr>
      <vt:lpstr>'4091'!_1.__2009_10_FEFP_State_and_Local_Funding</vt:lpstr>
      <vt:lpstr>'4100'!_1.__2009_10_FEFP_State_and_Local_Funding</vt:lpstr>
      <vt:lpstr>'4102'!_1.__2009_10_FEFP_State_and_Local_Funding</vt:lpstr>
      <vt:lpstr>'4103'!_1.__2009_10_FEFP_State_and_Local_Funding</vt:lpstr>
      <vt:lpstr>'4111'!_1.__2009_10_FEFP_State_and_Local_Funding</vt:lpstr>
      <vt:lpstr>'4131'!_1.__2009_10_FEFP_State_and_Local_Funding</vt:lpstr>
      <vt:lpstr>_1.__2009_10_FEFP_State_and_Local_Funding</vt:lpstr>
      <vt:lpstr>'0100'!_1.__2010_11_FEFP_State_and_Local_Funding</vt:lpstr>
      <vt:lpstr>'1461'!_1.__2010_11_FEFP_State_and_Local_Funding</vt:lpstr>
      <vt:lpstr>'1571'!_1.__2010_11_FEFP_State_and_Local_Funding</vt:lpstr>
      <vt:lpstr>'2521'!_1.__2010_11_FEFP_State_and_Local_Funding</vt:lpstr>
      <vt:lpstr>'2531'!_1.__2010_11_FEFP_State_and_Local_Funding</vt:lpstr>
      <vt:lpstr>'2791'!_1.__2010_11_FEFP_State_and_Local_Funding</vt:lpstr>
      <vt:lpstr>'2801'!_1.__2010_11_FEFP_State_and_Local_Funding</vt:lpstr>
      <vt:lpstr>'2911'!_1.__2010_11_FEFP_State_and_Local_Funding</vt:lpstr>
      <vt:lpstr>'2941'!_1.__2010_11_FEFP_State_and_Local_Funding</vt:lpstr>
      <vt:lpstr>'3083'!_1.__2010_11_FEFP_State_and_Local_Funding</vt:lpstr>
      <vt:lpstr>'3345'!_1.__2010_11_FEFP_State_and_Local_Funding</vt:lpstr>
      <vt:lpstr>'3381'!_1.__2010_11_FEFP_State_and_Local_Funding</vt:lpstr>
      <vt:lpstr>'3382'!_1.__2010_11_FEFP_State_and_Local_Funding</vt:lpstr>
      <vt:lpstr>'3391'!_1.__2010_11_FEFP_State_and_Local_Funding</vt:lpstr>
      <vt:lpstr>'3394'!_1.__2010_11_FEFP_State_and_Local_Funding</vt:lpstr>
      <vt:lpstr>'3395'!_1.__2010_11_FEFP_State_and_Local_Funding</vt:lpstr>
      <vt:lpstr>'3396'!_1.__2010_11_FEFP_State_and_Local_Funding</vt:lpstr>
      <vt:lpstr>'3398'!_1.__2010_11_FEFP_State_and_Local_Funding</vt:lpstr>
      <vt:lpstr>'3400'!_1.__2010_11_FEFP_State_and_Local_Funding</vt:lpstr>
      <vt:lpstr>'3401'!_1.__2010_11_FEFP_State_and_Local_Funding</vt:lpstr>
      <vt:lpstr>'3413'!_1.__2010_11_FEFP_State_and_Local_Funding</vt:lpstr>
      <vt:lpstr>'3421'!_1.__2010_11_FEFP_State_and_Local_Funding</vt:lpstr>
      <vt:lpstr>'3431'!_1.__2010_11_FEFP_State_and_Local_Funding</vt:lpstr>
      <vt:lpstr>'3441'!_1.__2010_11_FEFP_State_and_Local_Funding</vt:lpstr>
      <vt:lpstr>'3924'!_1.__2010_11_FEFP_State_and_Local_Funding</vt:lpstr>
      <vt:lpstr>'3941'!_1.__2010_11_FEFP_State_and_Local_Funding</vt:lpstr>
      <vt:lpstr>'3961'!_1.__2010_11_FEFP_State_and_Local_Funding</vt:lpstr>
      <vt:lpstr>'3971'!_1.__2010_11_FEFP_State_and_Local_Funding</vt:lpstr>
      <vt:lpstr>'4001'!_1.__2010_11_FEFP_State_and_Local_Funding</vt:lpstr>
      <vt:lpstr>'4002'!_1.__2010_11_FEFP_State_and_Local_Funding</vt:lpstr>
      <vt:lpstr>'4012'!_1.__2010_11_FEFP_State_and_Local_Funding</vt:lpstr>
      <vt:lpstr>'4013'!_1.__2010_11_FEFP_State_and_Local_Funding</vt:lpstr>
      <vt:lpstr>'4020'!_1.__2010_11_FEFP_State_and_Local_Funding</vt:lpstr>
      <vt:lpstr>'4030'!_1.__2010_11_FEFP_State_and_Local_Funding</vt:lpstr>
      <vt:lpstr>'4031'!_1.__2010_11_FEFP_State_and_Local_Funding</vt:lpstr>
      <vt:lpstr>'4041'!_1.__2010_11_FEFP_State_and_Local_Funding</vt:lpstr>
      <vt:lpstr>'4050'!_1.__2010_11_FEFP_State_and_Local_Funding</vt:lpstr>
      <vt:lpstr>'4051'!_1.__2010_11_FEFP_State_and_Local_Funding</vt:lpstr>
      <vt:lpstr>'4061'!_1.__2010_11_FEFP_State_and_Local_Funding</vt:lpstr>
      <vt:lpstr>'4080'!_1.__2010_11_FEFP_State_and_Local_Funding</vt:lpstr>
      <vt:lpstr>'4081'!_1.__2010_11_FEFP_State_and_Local_Funding</vt:lpstr>
      <vt:lpstr>'4090'!_1.__2010_11_FEFP_State_and_Local_Funding</vt:lpstr>
      <vt:lpstr>'4091'!_1.__2010_11_FEFP_State_and_Local_Funding</vt:lpstr>
      <vt:lpstr>'4100'!_1.__2010_11_FEFP_State_and_Local_Funding</vt:lpstr>
      <vt:lpstr>'4102'!_1.__2010_11_FEFP_State_and_Local_Funding</vt:lpstr>
      <vt:lpstr>'4103'!_1.__2010_11_FEFP_State_and_Local_Funding</vt:lpstr>
      <vt:lpstr>'4111'!_1.__2010_11_FEFP_State_and_Local_Funding</vt:lpstr>
      <vt:lpstr>'4131'!_1.__2010_11_FEFP_State_and_Local_Funding</vt:lpstr>
      <vt:lpstr>_1.__2010_11_FEFP_State_and_Local_Funding</vt:lpstr>
      <vt:lpstr>'0100'!_101_Basic_K_3</vt:lpstr>
      <vt:lpstr>'1461'!_101_Basic_K_3</vt:lpstr>
      <vt:lpstr>'1571'!_101_Basic_K_3</vt:lpstr>
      <vt:lpstr>'2521'!_101_Basic_K_3</vt:lpstr>
      <vt:lpstr>'2531'!_101_Basic_K_3</vt:lpstr>
      <vt:lpstr>'2791'!_101_Basic_K_3</vt:lpstr>
      <vt:lpstr>'2801'!_101_Basic_K_3</vt:lpstr>
      <vt:lpstr>'2911'!_101_Basic_K_3</vt:lpstr>
      <vt:lpstr>'2941'!_101_Basic_K_3</vt:lpstr>
      <vt:lpstr>'3083'!_101_Basic_K_3</vt:lpstr>
      <vt:lpstr>'3345'!_101_Basic_K_3</vt:lpstr>
      <vt:lpstr>'3381'!_101_Basic_K_3</vt:lpstr>
      <vt:lpstr>'3382'!_101_Basic_K_3</vt:lpstr>
      <vt:lpstr>'3391'!_101_Basic_K_3</vt:lpstr>
      <vt:lpstr>'3394'!_101_Basic_K_3</vt:lpstr>
      <vt:lpstr>'3395'!_101_Basic_K_3</vt:lpstr>
      <vt:lpstr>'3396'!_101_Basic_K_3</vt:lpstr>
      <vt:lpstr>'3398'!_101_Basic_K_3</vt:lpstr>
      <vt:lpstr>'3400'!_101_Basic_K_3</vt:lpstr>
      <vt:lpstr>'3401'!_101_Basic_K_3</vt:lpstr>
      <vt:lpstr>'3413'!_101_Basic_K_3</vt:lpstr>
      <vt:lpstr>'3421'!_101_Basic_K_3</vt:lpstr>
      <vt:lpstr>'3431'!_101_Basic_K_3</vt:lpstr>
      <vt:lpstr>'3441'!_101_Basic_K_3</vt:lpstr>
      <vt:lpstr>'3924'!_101_Basic_K_3</vt:lpstr>
      <vt:lpstr>'3941'!_101_Basic_K_3</vt:lpstr>
      <vt:lpstr>'3961'!_101_Basic_K_3</vt:lpstr>
      <vt:lpstr>'3971'!_101_Basic_K_3</vt:lpstr>
      <vt:lpstr>'4001'!_101_Basic_K_3</vt:lpstr>
      <vt:lpstr>'4002'!_101_Basic_K_3</vt:lpstr>
      <vt:lpstr>'4012'!_101_Basic_K_3</vt:lpstr>
      <vt:lpstr>'4013'!_101_Basic_K_3</vt:lpstr>
      <vt:lpstr>'4020'!_101_Basic_K_3</vt:lpstr>
      <vt:lpstr>'4030'!_101_Basic_K_3</vt:lpstr>
      <vt:lpstr>'4031'!_101_Basic_K_3</vt:lpstr>
      <vt:lpstr>'4041'!_101_Basic_K_3</vt:lpstr>
      <vt:lpstr>'4050'!_101_Basic_K_3</vt:lpstr>
      <vt:lpstr>'4051'!_101_Basic_K_3</vt:lpstr>
      <vt:lpstr>'4061'!_101_Basic_K_3</vt:lpstr>
      <vt:lpstr>'4080'!_101_Basic_K_3</vt:lpstr>
      <vt:lpstr>'4081'!_101_Basic_K_3</vt:lpstr>
      <vt:lpstr>'4090'!_101_Basic_K_3</vt:lpstr>
      <vt:lpstr>'4091'!_101_Basic_K_3</vt:lpstr>
      <vt:lpstr>'4100'!_101_Basic_K_3</vt:lpstr>
      <vt:lpstr>'4102'!_101_Basic_K_3</vt:lpstr>
      <vt:lpstr>'4103'!_101_Basic_K_3</vt:lpstr>
      <vt:lpstr>'4111'!_101_Basic_K_3</vt:lpstr>
      <vt:lpstr>'4131'!_101_Basic_K_3</vt:lpstr>
      <vt:lpstr>_101_Basic_K_3</vt:lpstr>
      <vt:lpstr>'0100'!_102_Basic_4_8</vt:lpstr>
      <vt:lpstr>'1461'!_102_Basic_4_8</vt:lpstr>
      <vt:lpstr>'1571'!_102_Basic_4_8</vt:lpstr>
      <vt:lpstr>'2521'!_102_Basic_4_8</vt:lpstr>
      <vt:lpstr>'2531'!_102_Basic_4_8</vt:lpstr>
      <vt:lpstr>'2791'!_102_Basic_4_8</vt:lpstr>
      <vt:lpstr>'2801'!_102_Basic_4_8</vt:lpstr>
      <vt:lpstr>'2911'!_102_Basic_4_8</vt:lpstr>
      <vt:lpstr>'2941'!_102_Basic_4_8</vt:lpstr>
      <vt:lpstr>'3083'!_102_Basic_4_8</vt:lpstr>
      <vt:lpstr>'3345'!_102_Basic_4_8</vt:lpstr>
      <vt:lpstr>'3381'!_102_Basic_4_8</vt:lpstr>
      <vt:lpstr>'3382'!_102_Basic_4_8</vt:lpstr>
      <vt:lpstr>'3391'!_102_Basic_4_8</vt:lpstr>
      <vt:lpstr>'3394'!_102_Basic_4_8</vt:lpstr>
      <vt:lpstr>'3395'!_102_Basic_4_8</vt:lpstr>
      <vt:lpstr>'3396'!_102_Basic_4_8</vt:lpstr>
      <vt:lpstr>'3398'!_102_Basic_4_8</vt:lpstr>
      <vt:lpstr>'3400'!_102_Basic_4_8</vt:lpstr>
      <vt:lpstr>'3401'!_102_Basic_4_8</vt:lpstr>
      <vt:lpstr>'3413'!_102_Basic_4_8</vt:lpstr>
      <vt:lpstr>'3421'!_102_Basic_4_8</vt:lpstr>
      <vt:lpstr>'3431'!_102_Basic_4_8</vt:lpstr>
      <vt:lpstr>'3441'!_102_Basic_4_8</vt:lpstr>
      <vt:lpstr>'3924'!_102_Basic_4_8</vt:lpstr>
      <vt:lpstr>'3941'!_102_Basic_4_8</vt:lpstr>
      <vt:lpstr>'3961'!_102_Basic_4_8</vt:lpstr>
      <vt:lpstr>'3971'!_102_Basic_4_8</vt:lpstr>
      <vt:lpstr>'4001'!_102_Basic_4_8</vt:lpstr>
      <vt:lpstr>'4002'!_102_Basic_4_8</vt:lpstr>
      <vt:lpstr>'4012'!_102_Basic_4_8</vt:lpstr>
      <vt:lpstr>'4013'!_102_Basic_4_8</vt:lpstr>
      <vt:lpstr>'4020'!_102_Basic_4_8</vt:lpstr>
      <vt:lpstr>'4030'!_102_Basic_4_8</vt:lpstr>
      <vt:lpstr>'4031'!_102_Basic_4_8</vt:lpstr>
      <vt:lpstr>'4041'!_102_Basic_4_8</vt:lpstr>
      <vt:lpstr>'4050'!_102_Basic_4_8</vt:lpstr>
      <vt:lpstr>'4051'!_102_Basic_4_8</vt:lpstr>
      <vt:lpstr>'4061'!_102_Basic_4_8</vt:lpstr>
      <vt:lpstr>'4080'!_102_Basic_4_8</vt:lpstr>
      <vt:lpstr>'4081'!_102_Basic_4_8</vt:lpstr>
      <vt:lpstr>'4090'!_102_Basic_4_8</vt:lpstr>
      <vt:lpstr>'4091'!_102_Basic_4_8</vt:lpstr>
      <vt:lpstr>'4100'!_102_Basic_4_8</vt:lpstr>
      <vt:lpstr>'4102'!_102_Basic_4_8</vt:lpstr>
      <vt:lpstr>'4103'!_102_Basic_4_8</vt:lpstr>
      <vt:lpstr>'4111'!_102_Basic_4_8</vt:lpstr>
      <vt:lpstr>'4131'!_102_Basic_4_8</vt:lpstr>
      <vt:lpstr>_102_Basic_4_8</vt:lpstr>
      <vt:lpstr>'0100'!_103_Basic_9_12</vt:lpstr>
      <vt:lpstr>'1461'!_103_Basic_9_12</vt:lpstr>
      <vt:lpstr>'1571'!_103_Basic_9_12</vt:lpstr>
      <vt:lpstr>'2521'!_103_Basic_9_12</vt:lpstr>
      <vt:lpstr>'2531'!_103_Basic_9_12</vt:lpstr>
      <vt:lpstr>'2791'!_103_Basic_9_12</vt:lpstr>
      <vt:lpstr>'2801'!_103_Basic_9_12</vt:lpstr>
      <vt:lpstr>'2911'!_103_Basic_9_12</vt:lpstr>
      <vt:lpstr>'2941'!_103_Basic_9_12</vt:lpstr>
      <vt:lpstr>'3083'!_103_Basic_9_12</vt:lpstr>
      <vt:lpstr>'3345'!_103_Basic_9_12</vt:lpstr>
      <vt:lpstr>'3381'!_103_Basic_9_12</vt:lpstr>
      <vt:lpstr>'3382'!_103_Basic_9_12</vt:lpstr>
      <vt:lpstr>'3391'!_103_Basic_9_12</vt:lpstr>
      <vt:lpstr>'3394'!_103_Basic_9_12</vt:lpstr>
      <vt:lpstr>'3395'!_103_Basic_9_12</vt:lpstr>
      <vt:lpstr>'3396'!_103_Basic_9_12</vt:lpstr>
      <vt:lpstr>'3398'!_103_Basic_9_12</vt:lpstr>
      <vt:lpstr>'3400'!_103_Basic_9_12</vt:lpstr>
      <vt:lpstr>'3401'!_103_Basic_9_12</vt:lpstr>
      <vt:lpstr>'3413'!_103_Basic_9_12</vt:lpstr>
      <vt:lpstr>'3421'!_103_Basic_9_12</vt:lpstr>
      <vt:lpstr>'3431'!_103_Basic_9_12</vt:lpstr>
      <vt:lpstr>'3441'!_103_Basic_9_12</vt:lpstr>
      <vt:lpstr>'3924'!_103_Basic_9_12</vt:lpstr>
      <vt:lpstr>'3941'!_103_Basic_9_12</vt:lpstr>
      <vt:lpstr>'3961'!_103_Basic_9_12</vt:lpstr>
      <vt:lpstr>'3971'!_103_Basic_9_12</vt:lpstr>
      <vt:lpstr>'4001'!_103_Basic_9_12</vt:lpstr>
      <vt:lpstr>'4002'!_103_Basic_9_12</vt:lpstr>
      <vt:lpstr>'4012'!_103_Basic_9_12</vt:lpstr>
      <vt:lpstr>'4013'!_103_Basic_9_12</vt:lpstr>
      <vt:lpstr>'4020'!_103_Basic_9_12</vt:lpstr>
      <vt:lpstr>'4030'!_103_Basic_9_12</vt:lpstr>
      <vt:lpstr>'4031'!_103_Basic_9_12</vt:lpstr>
      <vt:lpstr>'4041'!_103_Basic_9_12</vt:lpstr>
      <vt:lpstr>'4050'!_103_Basic_9_12</vt:lpstr>
      <vt:lpstr>'4051'!_103_Basic_9_12</vt:lpstr>
      <vt:lpstr>'4061'!_103_Basic_9_12</vt:lpstr>
      <vt:lpstr>'4080'!_103_Basic_9_12</vt:lpstr>
      <vt:lpstr>'4081'!_103_Basic_9_12</vt:lpstr>
      <vt:lpstr>'4090'!_103_Basic_9_12</vt:lpstr>
      <vt:lpstr>'4091'!_103_Basic_9_12</vt:lpstr>
      <vt:lpstr>'4100'!_103_Basic_9_12</vt:lpstr>
      <vt:lpstr>'4102'!_103_Basic_9_12</vt:lpstr>
      <vt:lpstr>'4103'!_103_Basic_9_12</vt:lpstr>
      <vt:lpstr>'4111'!_103_Basic_9_12</vt:lpstr>
      <vt:lpstr>'4131'!_103_Basic_9_12</vt:lpstr>
      <vt:lpstr>_103_Basic_9_12</vt:lpstr>
      <vt:lpstr>'0100'!_111_Basic_K_3_with_ESE_Services</vt:lpstr>
      <vt:lpstr>'1461'!_111_Basic_K_3_with_ESE_Services</vt:lpstr>
      <vt:lpstr>'1571'!_111_Basic_K_3_with_ESE_Services</vt:lpstr>
      <vt:lpstr>'2521'!_111_Basic_K_3_with_ESE_Services</vt:lpstr>
      <vt:lpstr>'2531'!_111_Basic_K_3_with_ESE_Services</vt:lpstr>
      <vt:lpstr>'2791'!_111_Basic_K_3_with_ESE_Services</vt:lpstr>
      <vt:lpstr>'2801'!_111_Basic_K_3_with_ESE_Services</vt:lpstr>
      <vt:lpstr>'2911'!_111_Basic_K_3_with_ESE_Services</vt:lpstr>
      <vt:lpstr>'2941'!_111_Basic_K_3_with_ESE_Services</vt:lpstr>
      <vt:lpstr>'3083'!_111_Basic_K_3_with_ESE_Services</vt:lpstr>
      <vt:lpstr>'3345'!_111_Basic_K_3_with_ESE_Services</vt:lpstr>
      <vt:lpstr>'3381'!_111_Basic_K_3_with_ESE_Services</vt:lpstr>
      <vt:lpstr>'3382'!_111_Basic_K_3_with_ESE_Services</vt:lpstr>
      <vt:lpstr>'3391'!_111_Basic_K_3_with_ESE_Services</vt:lpstr>
      <vt:lpstr>'3394'!_111_Basic_K_3_with_ESE_Services</vt:lpstr>
      <vt:lpstr>'3395'!_111_Basic_K_3_with_ESE_Services</vt:lpstr>
      <vt:lpstr>'3396'!_111_Basic_K_3_with_ESE_Services</vt:lpstr>
      <vt:lpstr>'3398'!_111_Basic_K_3_with_ESE_Services</vt:lpstr>
      <vt:lpstr>'3400'!_111_Basic_K_3_with_ESE_Services</vt:lpstr>
      <vt:lpstr>'3401'!_111_Basic_K_3_with_ESE_Services</vt:lpstr>
      <vt:lpstr>'3413'!_111_Basic_K_3_with_ESE_Services</vt:lpstr>
      <vt:lpstr>'3421'!_111_Basic_K_3_with_ESE_Services</vt:lpstr>
      <vt:lpstr>'3431'!_111_Basic_K_3_with_ESE_Services</vt:lpstr>
      <vt:lpstr>'3441'!_111_Basic_K_3_with_ESE_Services</vt:lpstr>
      <vt:lpstr>'3924'!_111_Basic_K_3_with_ESE_Services</vt:lpstr>
      <vt:lpstr>'3941'!_111_Basic_K_3_with_ESE_Services</vt:lpstr>
      <vt:lpstr>'3961'!_111_Basic_K_3_with_ESE_Services</vt:lpstr>
      <vt:lpstr>'3971'!_111_Basic_K_3_with_ESE_Services</vt:lpstr>
      <vt:lpstr>'4001'!_111_Basic_K_3_with_ESE_Services</vt:lpstr>
      <vt:lpstr>'4002'!_111_Basic_K_3_with_ESE_Services</vt:lpstr>
      <vt:lpstr>'4012'!_111_Basic_K_3_with_ESE_Services</vt:lpstr>
      <vt:lpstr>'4013'!_111_Basic_K_3_with_ESE_Services</vt:lpstr>
      <vt:lpstr>'4020'!_111_Basic_K_3_with_ESE_Services</vt:lpstr>
      <vt:lpstr>'4030'!_111_Basic_K_3_with_ESE_Services</vt:lpstr>
      <vt:lpstr>'4031'!_111_Basic_K_3_with_ESE_Services</vt:lpstr>
      <vt:lpstr>'4041'!_111_Basic_K_3_with_ESE_Services</vt:lpstr>
      <vt:lpstr>'4050'!_111_Basic_K_3_with_ESE_Services</vt:lpstr>
      <vt:lpstr>'4051'!_111_Basic_K_3_with_ESE_Services</vt:lpstr>
      <vt:lpstr>'4061'!_111_Basic_K_3_with_ESE_Services</vt:lpstr>
      <vt:lpstr>'4080'!_111_Basic_K_3_with_ESE_Services</vt:lpstr>
      <vt:lpstr>'4081'!_111_Basic_K_3_with_ESE_Services</vt:lpstr>
      <vt:lpstr>'4090'!_111_Basic_K_3_with_ESE_Services</vt:lpstr>
      <vt:lpstr>'4091'!_111_Basic_K_3_with_ESE_Services</vt:lpstr>
      <vt:lpstr>'4100'!_111_Basic_K_3_with_ESE_Services</vt:lpstr>
      <vt:lpstr>'4102'!_111_Basic_K_3_with_ESE_Services</vt:lpstr>
      <vt:lpstr>'4103'!_111_Basic_K_3_with_ESE_Services</vt:lpstr>
      <vt:lpstr>'4111'!_111_Basic_K_3_with_ESE_Services</vt:lpstr>
      <vt:lpstr>'4131'!_111_Basic_K_3_with_ESE_Services</vt:lpstr>
      <vt:lpstr>_111_Basic_K_3_with_ESE_Services</vt:lpstr>
      <vt:lpstr>'0100'!_112_Basic_4_8_with_ESE_Services</vt:lpstr>
      <vt:lpstr>'1461'!_112_Basic_4_8_with_ESE_Services</vt:lpstr>
      <vt:lpstr>'1571'!_112_Basic_4_8_with_ESE_Services</vt:lpstr>
      <vt:lpstr>'2521'!_112_Basic_4_8_with_ESE_Services</vt:lpstr>
      <vt:lpstr>'2531'!_112_Basic_4_8_with_ESE_Services</vt:lpstr>
      <vt:lpstr>'2791'!_112_Basic_4_8_with_ESE_Services</vt:lpstr>
      <vt:lpstr>'2801'!_112_Basic_4_8_with_ESE_Services</vt:lpstr>
      <vt:lpstr>'2911'!_112_Basic_4_8_with_ESE_Services</vt:lpstr>
      <vt:lpstr>'2941'!_112_Basic_4_8_with_ESE_Services</vt:lpstr>
      <vt:lpstr>'3083'!_112_Basic_4_8_with_ESE_Services</vt:lpstr>
      <vt:lpstr>'3345'!_112_Basic_4_8_with_ESE_Services</vt:lpstr>
      <vt:lpstr>'3381'!_112_Basic_4_8_with_ESE_Services</vt:lpstr>
      <vt:lpstr>'3382'!_112_Basic_4_8_with_ESE_Services</vt:lpstr>
      <vt:lpstr>'3391'!_112_Basic_4_8_with_ESE_Services</vt:lpstr>
      <vt:lpstr>'3394'!_112_Basic_4_8_with_ESE_Services</vt:lpstr>
      <vt:lpstr>'3395'!_112_Basic_4_8_with_ESE_Services</vt:lpstr>
      <vt:lpstr>'3396'!_112_Basic_4_8_with_ESE_Services</vt:lpstr>
      <vt:lpstr>'3398'!_112_Basic_4_8_with_ESE_Services</vt:lpstr>
      <vt:lpstr>'3400'!_112_Basic_4_8_with_ESE_Services</vt:lpstr>
      <vt:lpstr>'3401'!_112_Basic_4_8_with_ESE_Services</vt:lpstr>
      <vt:lpstr>'3413'!_112_Basic_4_8_with_ESE_Services</vt:lpstr>
      <vt:lpstr>'3421'!_112_Basic_4_8_with_ESE_Services</vt:lpstr>
      <vt:lpstr>'3431'!_112_Basic_4_8_with_ESE_Services</vt:lpstr>
      <vt:lpstr>'3441'!_112_Basic_4_8_with_ESE_Services</vt:lpstr>
      <vt:lpstr>'3924'!_112_Basic_4_8_with_ESE_Services</vt:lpstr>
      <vt:lpstr>'3941'!_112_Basic_4_8_with_ESE_Services</vt:lpstr>
      <vt:lpstr>'3961'!_112_Basic_4_8_with_ESE_Services</vt:lpstr>
      <vt:lpstr>'3971'!_112_Basic_4_8_with_ESE_Services</vt:lpstr>
      <vt:lpstr>'4001'!_112_Basic_4_8_with_ESE_Services</vt:lpstr>
      <vt:lpstr>'4002'!_112_Basic_4_8_with_ESE_Services</vt:lpstr>
      <vt:lpstr>'4012'!_112_Basic_4_8_with_ESE_Services</vt:lpstr>
      <vt:lpstr>'4013'!_112_Basic_4_8_with_ESE_Services</vt:lpstr>
      <vt:lpstr>'4020'!_112_Basic_4_8_with_ESE_Services</vt:lpstr>
      <vt:lpstr>'4030'!_112_Basic_4_8_with_ESE_Services</vt:lpstr>
      <vt:lpstr>'4031'!_112_Basic_4_8_with_ESE_Services</vt:lpstr>
      <vt:lpstr>'4041'!_112_Basic_4_8_with_ESE_Services</vt:lpstr>
      <vt:lpstr>'4050'!_112_Basic_4_8_with_ESE_Services</vt:lpstr>
      <vt:lpstr>'4051'!_112_Basic_4_8_with_ESE_Services</vt:lpstr>
      <vt:lpstr>'4061'!_112_Basic_4_8_with_ESE_Services</vt:lpstr>
      <vt:lpstr>'4080'!_112_Basic_4_8_with_ESE_Services</vt:lpstr>
      <vt:lpstr>'4081'!_112_Basic_4_8_with_ESE_Services</vt:lpstr>
      <vt:lpstr>'4090'!_112_Basic_4_8_with_ESE_Services</vt:lpstr>
      <vt:lpstr>'4091'!_112_Basic_4_8_with_ESE_Services</vt:lpstr>
      <vt:lpstr>'4100'!_112_Basic_4_8_with_ESE_Services</vt:lpstr>
      <vt:lpstr>'4102'!_112_Basic_4_8_with_ESE_Services</vt:lpstr>
      <vt:lpstr>'4103'!_112_Basic_4_8_with_ESE_Services</vt:lpstr>
      <vt:lpstr>'4111'!_112_Basic_4_8_with_ESE_Services</vt:lpstr>
      <vt:lpstr>'4131'!_112_Basic_4_8_with_ESE_Services</vt:lpstr>
      <vt:lpstr>_112_Basic_4_8_with_ESE_Services</vt:lpstr>
      <vt:lpstr>'0100'!_113_Basic_9_12_with_ESE_Services</vt:lpstr>
      <vt:lpstr>'1461'!_113_Basic_9_12_with_ESE_Services</vt:lpstr>
      <vt:lpstr>'1571'!_113_Basic_9_12_with_ESE_Services</vt:lpstr>
      <vt:lpstr>'2521'!_113_Basic_9_12_with_ESE_Services</vt:lpstr>
      <vt:lpstr>'2531'!_113_Basic_9_12_with_ESE_Services</vt:lpstr>
      <vt:lpstr>'2791'!_113_Basic_9_12_with_ESE_Services</vt:lpstr>
      <vt:lpstr>'2801'!_113_Basic_9_12_with_ESE_Services</vt:lpstr>
      <vt:lpstr>'2911'!_113_Basic_9_12_with_ESE_Services</vt:lpstr>
      <vt:lpstr>'2941'!_113_Basic_9_12_with_ESE_Services</vt:lpstr>
      <vt:lpstr>'3083'!_113_Basic_9_12_with_ESE_Services</vt:lpstr>
      <vt:lpstr>'3345'!_113_Basic_9_12_with_ESE_Services</vt:lpstr>
      <vt:lpstr>'3381'!_113_Basic_9_12_with_ESE_Services</vt:lpstr>
      <vt:lpstr>'3382'!_113_Basic_9_12_with_ESE_Services</vt:lpstr>
      <vt:lpstr>'3391'!_113_Basic_9_12_with_ESE_Services</vt:lpstr>
      <vt:lpstr>'3394'!_113_Basic_9_12_with_ESE_Services</vt:lpstr>
      <vt:lpstr>'3395'!_113_Basic_9_12_with_ESE_Services</vt:lpstr>
      <vt:lpstr>'3396'!_113_Basic_9_12_with_ESE_Services</vt:lpstr>
      <vt:lpstr>'3398'!_113_Basic_9_12_with_ESE_Services</vt:lpstr>
      <vt:lpstr>'3400'!_113_Basic_9_12_with_ESE_Services</vt:lpstr>
      <vt:lpstr>'3401'!_113_Basic_9_12_with_ESE_Services</vt:lpstr>
      <vt:lpstr>'3413'!_113_Basic_9_12_with_ESE_Services</vt:lpstr>
      <vt:lpstr>'3421'!_113_Basic_9_12_with_ESE_Services</vt:lpstr>
      <vt:lpstr>'3431'!_113_Basic_9_12_with_ESE_Services</vt:lpstr>
      <vt:lpstr>'3441'!_113_Basic_9_12_with_ESE_Services</vt:lpstr>
      <vt:lpstr>'3924'!_113_Basic_9_12_with_ESE_Services</vt:lpstr>
      <vt:lpstr>'3941'!_113_Basic_9_12_with_ESE_Services</vt:lpstr>
      <vt:lpstr>'3961'!_113_Basic_9_12_with_ESE_Services</vt:lpstr>
      <vt:lpstr>'3971'!_113_Basic_9_12_with_ESE_Services</vt:lpstr>
      <vt:lpstr>'4001'!_113_Basic_9_12_with_ESE_Services</vt:lpstr>
      <vt:lpstr>'4002'!_113_Basic_9_12_with_ESE_Services</vt:lpstr>
      <vt:lpstr>'4012'!_113_Basic_9_12_with_ESE_Services</vt:lpstr>
      <vt:lpstr>'4013'!_113_Basic_9_12_with_ESE_Services</vt:lpstr>
      <vt:lpstr>'4020'!_113_Basic_9_12_with_ESE_Services</vt:lpstr>
      <vt:lpstr>'4030'!_113_Basic_9_12_with_ESE_Services</vt:lpstr>
      <vt:lpstr>'4031'!_113_Basic_9_12_with_ESE_Services</vt:lpstr>
      <vt:lpstr>'4041'!_113_Basic_9_12_with_ESE_Services</vt:lpstr>
      <vt:lpstr>'4050'!_113_Basic_9_12_with_ESE_Services</vt:lpstr>
      <vt:lpstr>'4051'!_113_Basic_9_12_with_ESE_Services</vt:lpstr>
      <vt:lpstr>'4061'!_113_Basic_9_12_with_ESE_Services</vt:lpstr>
      <vt:lpstr>'4080'!_113_Basic_9_12_with_ESE_Services</vt:lpstr>
      <vt:lpstr>'4081'!_113_Basic_9_12_with_ESE_Services</vt:lpstr>
      <vt:lpstr>'4090'!_113_Basic_9_12_with_ESE_Services</vt:lpstr>
      <vt:lpstr>'4091'!_113_Basic_9_12_with_ESE_Services</vt:lpstr>
      <vt:lpstr>'4100'!_113_Basic_9_12_with_ESE_Services</vt:lpstr>
      <vt:lpstr>'4102'!_113_Basic_9_12_with_ESE_Services</vt:lpstr>
      <vt:lpstr>'4103'!_113_Basic_9_12_with_ESE_Services</vt:lpstr>
      <vt:lpstr>'4111'!_113_Basic_9_12_with_ESE_Services</vt:lpstr>
      <vt:lpstr>'4131'!_113_Basic_9_12_with_ESE_Services</vt:lpstr>
      <vt:lpstr>_113_Basic_9_12_with_ESE_Services</vt:lpstr>
      <vt:lpstr>'0100'!_130_ESOL__Grade_Level_4_8</vt:lpstr>
      <vt:lpstr>'1461'!_130_ESOL__Grade_Level_4_8</vt:lpstr>
      <vt:lpstr>'1571'!_130_ESOL__Grade_Level_4_8</vt:lpstr>
      <vt:lpstr>'2521'!_130_ESOL__Grade_Level_4_8</vt:lpstr>
      <vt:lpstr>'2531'!_130_ESOL__Grade_Level_4_8</vt:lpstr>
      <vt:lpstr>'2791'!_130_ESOL__Grade_Level_4_8</vt:lpstr>
      <vt:lpstr>'2801'!_130_ESOL__Grade_Level_4_8</vt:lpstr>
      <vt:lpstr>'2911'!_130_ESOL__Grade_Level_4_8</vt:lpstr>
      <vt:lpstr>'2941'!_130_ESOL__Grade_Level_4_8</vt:lpstr>
      <vt:lpstr>'3083'!_130_ESOL__Grade_Level_4_8</vt:lpstr>
      <vt:lpstr>'3345'!_130_ESOL__Grade_Level_4_8</vt:lpstr>
      <vt:lpstr>'3381'!_130_ESOL__Grade_Level_4_8</vt:lpstr>
      <vt:lpstr>'3382'!_130_ESOL__Grade_Level_4_8</vt:lpstr>
      <vt:lpstr>'3391'!_130_ESOL__Grade_Level_4_8</vt:lpstr>
      <vt:lpstr>'3394'!_130_ESOL__Grade_Level_4_8</vt:lpstr>
      <vt:lpstr>'3395'!_130_ESOL__Grade_Level_4_8</vt:lpstr>
      <vt:lpstr>'3396'!_130_ESOL__Grade_Level_4_8</vt:lpstr>
      <vt:lpstr>'3398'!_130_ESOL__Grade_Level_4_8</vt:lpstr>
      <vt:lpstr>'3400'!_130_ESOL__Grade_Level_4_8</vt:lpstr>
      <vt:lpstr>'3401'!_130_ESOL__Grade_Level_4_8</vt:lpstr>
      <vt:lpstr>'3413'!_130_ESOL__Grade_Level_4_8</vt:lpstr>
      <vt:lpstr>'3421'!_130_ESOL__Grade_Level_4_8</vt:lpstr>
      <vt:lpstr>'3431'!_130_ESOL__Grade_Level_4_8</vt:lpstr>
      <vt:lpstr>'3441'!_130_ESOL__Grade_Level_4_8</vt:lpstr>
      <vt:lpstr>'3924'!_130_ESOL__Grade_Level_4_8</vt:lpstr>
      <vt:lpstr>'3941'!_130_ESOL__Grade_Level_4_8</vt:lpstr>
      <vt:lpstr>'3961'!_130_ESOL__Grade_Level_4_8</vt:lpstr>
      <vt:lpstr>'3971'!_130_ESOL__Grade_Level_4_8</vt:lpstr>
      <vt:lpstr>'4001'!_130_ESOL__Grade_Level_4_8</vt:lpstr>
      <vt:lpstr>'4002'!_130_ESOL__Grade_Level_4_8</vt:lpstr>
      <vt:lpstr>'4012'!_130_ESOL__Grade_Level_4_8</vt:lpstr>
      <vt:lpstr>'4013'!_130_ESOL__Grade_Level_4_8</vt:lpstr>
      <vt:lpstr>'4020'!_130_ESOL__Grade_Level_4_8</vt:lpstr>
      <vt:lpstr>'4030'!_130_ESOL__Grade_Level_4_8</vt:lpstr>
      <vt:lpstr>'4031'!_130_ESOL__Grade_Level_4_8</vt:lpstr>
      <vt:lpstr>'4041'!_130_ESOL__Grade_Level_4_8</vt:lpstr>
      <vt:lpstr>'4050'!_130_ESOL__Grade_Level_4_8</vt:lpstr>
      <vt:lpstr>'4051'!_130_ESOL__Grade_Level_4_8</vt:lpstr>
      <vt:lpstr>'4061'!_130_ESOL__Grade_Level_4_8</vt:lpstr>
      <vt:lpstr>'4080'!_130_ESOL__Grade_Level_4_8</vt:lpstr>
      <vt:lpstr>'4081'!_130_ESOL__Grade_Level_4_8</vt:lpstr>
      <vt:lpstr>'4090'!_130_ESOL__Grade_Level_4_8</vt:lpstr>
      <vt:lpstr>'4091'!_130_ESOL__Grade_Level_4_8</vt:lpstr>
      <vt:lpstr>'4100'!_130_ESOL__Grade_Level_4_8</vt:lpstr>
      <vt:lpstr>'4102'!_130_ESOL__Grade_Level_4_8</vt:lpstr>
      <vt:lpstr>'4103'!_130_ESOL__Grade_Level_4_8</vt:lpstr>
      <vt:lpstr>'4111'!_130_ESOL__Grade_Level_4_8</vt:lpstr>
      <vt:lpstr>'4131'!_130_ESOL__Grade_Level_4_8</vt:lpstr>
      <vt:lpstr>_130_ESOL__Grade_Level_4_8</vt:lpstr>
      <vt:lpstr>'0100'!_130_ESOL__Grade_Level_9_12</vt:lpstr>
      <vt:lpstr>'1461'!_130_ESOL__Grade_Level_9_12</vt:lpstr>
      <vt:lpstr>'1571'!_130_ESOL__Grade_Level_9_12</vt:lpstr>
      <vt:lpstr>'2521'!_130_ESOL__Grade_Level_9_12</vt:lpstr>
      <vt:lpstr>'2531'!_130_ESOL__Grade_Level_9_12</vt:lpstr>
      <vt:lpstr>'2791'!_130_ESOL__Grade_Level_9_12</vt:lpstr>
      <vt:lpstr>'2801'!_130_ESOL__Grade_Level_9_12</vt:lpstr>
      <vt:lpstr>'2911'!_130_ESOL__Grade_Level_9_12</vt:lpstr>
      <vt:lpstr>'2941'!_130_ESOL__Grade_Level_9_12</vt:lpstr>
      <vt:lpstr>'3083'!_130_ESOL__Grade_Level_9_12</vt:lpstr>
      <vt:lpstr>'3345'!_130_ESOL__Grade_Level_9_12</vt:lpstr>
      <vt:lpstr>'3381'!_130_ESOL__Grade_Level_9_12</vt:lpstr>
      <vt:lpstr>'3382'!_130_ESOL__Grade_Level_9_12</vt:lpstr>
      <vt:lpstr>'3391'!_130_ESOL__Grade_Level_9_12</vt:lpstr>
      <vt:lpstr>'3394'!_130_ESOL__Grade_Level_9_12</vt:lpstr>
      <vt:lpstr>'3395'!_130_ESOL__Grade_Level_9_12</vt:lpstr>
      <vt:lpstr>'3396'!_130_ESOL__Grade_Level_9_12</vt:lpstr>
      <vt:lpstr>'3398'!_130_ESOL__Grade_Level_9_12</vt:lpstr>
      <vt:lpstr>'3400'!_130_ESOL__Grade_Level_9_12</vt:lpstr>
      <vt:lpstr>'3401'!_130_ESOL__Grade_Level_9_12</vt:lpstr>
      <vt:lpstr>'3413'!_130_ESOL__Grade_Level_9_12</vt:lpstr>
      <vt:lpstr>'3421'!_130_ESOL__Grade_Level_9_12</vt:lpstr>
      <vt:lpstr>'3431'!_130_ESOL__Grade_Level_9_12</vt:lpstr>
      <vt:lpstr>'3441'!_130_ESOL__Grade_Level_9_12</vt:lpstr>
      <vt:lpstr>'3924'!_130_ESOL__Grade_Level_9_12</vt:lpstr>
      <vt:lpstr>'3941'!_130_ESOL__Grade_Level_9_12</vt:lpstr>
      <vt:lpstr>'3961'!_130_ESOL__Grade_Level_9_12</vt:lpstr>
      <vt:lpstr>'3971'!_130_ESOL__Grade_Level_9_12</vt:lpstr>
      <vt:lpstr>'4001'!_130_ESOL__Grade_Level_9_12</vt:lpstr>
      <vt:lpstr>'4002'!_130_ESOL__Grade_Level_9_12</vt:lpstr>
      <vt:lpstr>'4012'!_130_ESOL__Grade_Level_9_12</vt:lpstr>
      <vt:lpstr>'4013'!_130_ESOL__Grade_Level_9_12</vt:lpstr>
      <vt:lpstr>'4020'!_130_ESOL__Grade_Level_9_12</vt:lpstr>
      <vt:lpstr>'4030'!_130_ESOL__Grade_Level_9_12</vt:lpstr>
      <vt:lpstr>'4031'!_130_ESOL__Grade_Level_9_12</vt:lpstr>
      <vt:lpstr>'4041'!_130_ESOL__Grade_Level_9_12</vt:lpstr>
      <vt:lpstr>'4050'!_130_ESOL__Grade_Level_9_12</vt:lpstr>
      <vt:lpstr>'4051'!_130_ESOL__Grade_Level_9_12</vt:lpstr>
      <vt:lpstr>'4061'!_130_ESOL__Grade_Level_9_12</vt:lpstr>
      <vt:lpstr>'4080'!_130_ESOL__Grade_Level_9_12</vt:lpstr>
      <vt:lpstr>'4081'!_130_ESOL__Grade_Level_9_12</vt:lpstr>
      <vt:lpstr>'4090'!_130_ESOL__Grade_Level_9_12</vt:lpstr>
      <vt:lpstr>'4091'!_130_ESOL__Grade_Level_9_12</vt:lpstr>
      <vt:lpstr>'4100'!_130_ESOL__Grade_Level_9_12</vt:lpstr>
      <vt:lpstr>'4102'!_130_ESOL__Grade_Level_9_12</vt:lpstr>
      <vt:lpstr>'4103'!_130_ESOL__Grade_Level_9_12</vt:lpstr>
      <vt:lpstr>'4111'!_130_ESOL__Grade_Level_9_12</vt:lpstr>
      <vt:lpstr>'4131'!_130_ESOL__Grade_Level_9_12</vt:lpstr>
      <vt:lpstr>_130_ESOL__Grade_Level_9_12</vt:lpstr>
      <vt:lpstr>'0100'!_130_ESOL__Grade_Level_PK_3</vt:lpstr>
      <vt:lpstr>'1461'!_130_ESOL__Grade_Level_PK_3</vt:lpstr>
      <vt:lpstr>'1571'!_130_ESOL__Grade_Level_PK_3</vt:lpstr>
      <vt:lpstr>'2521'!_130_ESOL__Grade_Level_PK_3</vt:lpstr>
      <vt:lpstr>'2531'!_130_ESOL__Grade_Level_PK_3</vt:lpstr>
      <vt:lpstr>'2791'!_130_ESOL__Grade_Level_PK_3</vt:lpstr>
      <vt:lpstr>'2801'!_130_ESOL__Grade_Level_PK_3</vt:lpstr>
      <vt:lpstr>'2911'!_130_ESOL__Grade_Level_PK_3</vt:lpstr>
      <vt:lpstr>'2941'!_130_ESOL__Grade_Level_PK_3</vt:lpstr>
      <vt:lpstr>'3083'!_130_ESOL__Grade_Level_PK_3</vt:lpstr>
      <vt:lpstr>'3345'!_130_ESOL__Grade_Level_PK_3</vt:lpstr>
      <vt:lpstr>'3381'!_130_ESOL__Grade_Level_PK_3</vt:lpstr>
      <vt:lpstr>'3382'!_130_ESOL__Grade_Level_PK_3</vt:lpstr>
      <vt:lpstr>'3391'!_130_ESOL__Grade_Level_PK_3</vt:lpstr>
      <vt:lpstr>'3394'!_130_ESOL__Grade_Level_PK_3</vt:lpstr>
      <vt:lpstr>'3395'!_130_ESOL__Grade_Level_PK_3</vt:lpstr>
      <vt:lpstr>'3396'!_130_ESOL__Grade_Level_PK_3</vt:lpstr>
      <vt:lpstr>'3398'!_130_ESOL__Grade_Level_PK_3</vt:lpstr>
      <vt:lpstr>'3400'!_130_ESOL__Grade_Level_PK_3</vt:lpstr>
      <vt:lpstr>'3401'!_130_ESOL__Grade_Level_PK_3</vt:lpstr>
      <vt:lpstr>'3413'!_130_ESOL__Grade_Level_PK_3</vt:lpstr>
      <vt:lpstr>'3421'!_130_ESOL__Grade_Level_PK_3</vt:lpstr>
      <vt:lpstr>'3431'!_130_ESOL__Grade_Level_PK_3</vt:lpstr>
      <vt:lpstr>'3441'!_130_ESOL__Grade_Level_PK_3</vt:lpstr>
      <vt:lpstr>'3924'!_130_ESOL__Grade_Level_PK_3</vt:lpstr>
      <vt:lpstr>'3941'!_130_ESOL__Grade_Level_PK_3</vt:lpstr>
      <vt:lpstr>'3961'!_130_ESOL__Grade_Level_PK_3</vt:lpstr>
      <vt:lpstr>'3971'!_130_ESOL__Grade_Level_PK_3</vt:lpstr>
      <vt:lpstr>'4001'!_130_ESOL__Grade_Level_PK_3</vt:lpstr>
      <vt:lpstr>'4002'!_130_ESOL__Grade_Level_PK_3</vt:lpstr>
      <vt:lpstr>'4012'!_130_ESOL__Grade_Level_PK_3</vt:lpstr>
      <vt:lpstr>'4013'!_130_ESOL__Grade_Level_PK_3</vt:lpstr>
      <vt:lpstr>'4020'!_130_ESOL__Grade_Level_PK_3</vt:lpstr>
      <vt:lpstr>'4030'!_130_ESOL__Grade_Level_PK_3</vt:lpstr>
      <vt:lpstr>'4031'!_130_ESOL__Grade_Level_PK_3</vt:lpstr>
      <vt:lpstr>'4041'!_130_ESOL__Grade_Level_PK_3</vt:lpstr>
      <vt:lpstr>'4050'!_130_ESOL__Grade_Level_PK_3</vt:lpstr>
      <vt:lpstr>'4051'!_130_ESOL__Grade_Level_PK_3</vt:lpstr>
      <vt:lpstr>'4061'!_130_ESOL__Grade_Level_PK_3</vt:lpstr>
      <vt:lpstr>'4080'!_130_ESOL__Grade_Level_PK_3</vt:lpstr>
      <vt:lpstr>'4081'!_130_ESOL__Grade_Level_PK_3</vt:lpstr>
      <vt:lpstr>'4090'!_130_ESOL__Grade_Level_PK_3</vt:lpstr>
      <vt:lpstr>'4091'!_130_ESOL__Grade_Level_PK_3</vt:lpstr>
      <vt:lpstr>'4100'!_130_ESOL__Grade_Level_PK_3</vt:lpstr>
      <vt:lpstr>'4102'!_130_ESOL__Grade_Level_PK_3</vt:lpstr>
      <vt:lpstr>'4103'!_130_ESOL__Grade_Level_PK_3</vt:lpstr>
      <vt:lpstr>'4111'!_130_ESOL__Grade_Level_PK_3</vt:lpstr>
      <vt:lpstr>'4131'!_130_ESOL__Grade_Level_PK_3</vt:lpstr>
      <vt:lpstr>_130_ESOL__Grade_Level_PK_3</vt:lpstr>
      <vt:lpstr>'0040'!_1A.___2023_24_FEFP_State_and_Local_Funding</vt:lpstr>
      <vt:lpstr>'0100'!_1A.___2023_24_FEFP_State_and_Local_Funding</vt:lpstr>
      <vt:lpstr>'1461'!_1A.___2023_24_FEFP_State_and_Local_Funding</vt:lpstr>
      <vt:lpstr>'1571'!_1A.___2023_24_FEFP_State_and_Local_Funding</vt:lpstr>
      <vt:lpstr>'2521'!_1A.___2023_24_FEFP_State_and_Local_Funding</vt:lpstr>
      <vt:lpstr>'2531'!_1A.___2023_24_FEFP_State_and_Local_Funding</vt:lpstr>
      <vt:lpstr>'2791'!_1A.___2023_24_FEFP_State_and_Local_Funding</vt:lpstr>
      <vt:lpstr>'2801'!_1A.___2023_24_FEFP_State_and_Local_Funding</vt:lpstr>
      <vt:lpstr>'2911'!_1A.___2023_24_FEFP_State_and_Local_Funding</vt:lpstr>
      <vt:lpstr>'2941'!_1A.___2023_24_FEFP_State_and_Local_Funding</vt:lpstr>
      <vt:lpstr>'3083'!_1A.___2023_24_FEFP_State_and_Local_Funding</vt:lpstr>
      <vt:lpstr>'3345'!_1A.___2023_24_FEFP_State_and_Local_Funding</vt:lpstr>
      <vt:lpstr>'3381'!_1A.___2023_24_FEFP_State_and_Local_Funding</vt:lpstr>
      <vt:lpstr>'3382'!_1A.___2023_24_FEFP_State_and_Local_Funding</vt:lpstr>
      <vt:lpstr>'3391'!_1A.___2023_24_FEFP_State_and_Local_Funding</vt:lpstr>
      <vt:lpstr>'3394'!_1A.___2023_24_FEFP_State_and_Local_Funding</vt:lpstr>
      <vt:lpstr>'3395'!_1A.___2023_24_FEFP_State_and_Local_Funding</vt:lpstr>
      <vt:lpstr>'3396'!_1A.___2023_24_FEFP_State_and_Local_Funding</vt:lpstr>
      <vt:lpstr>'3398'!_1A.___2023_24_FEFP_State_and_Local_Funding</vt:lpstr>
      <vt:lpstr>'3400'!_1A.___2023_24_FEFP_State_and_Local_Funding</vt:lpstr>
      <vt:lpstr>'3401'!_1A.___2023_24_FEFP_State_and_Local_Funding</vt:lpstr>
      <vt:lpstr>'3413'!_1A.___2023_24_FEFP_State_and_Local_Funding</vt:lpstr>
      <vt:lpstr>'3421'!_1A.___2023_24_FEFP_State_and_Local_Funding</vt:lpstr>
      <vt:lpstr>'3431'!_1A.___2023_24_FEFP_State_and_Local_Funding</vt:lpstr>
      <vt:lpstr>'3441'!_1A.___2023_24_FEFP_State_and_Local_Funding</vt:lpstr>
      <vt:lpstr>'3924'!_1A.___2023_24_FEFP_State_and_Local_Funding</vt:lpstr>
      <vt:lpstr>'3941'!_1A.___2023_24_FEFP_State_and_Local_Funding</vt:lpstr>
      <vt:lpstr>'3961'!_1A.___2023_24_FEFP_State_and_Local_Funding</vt:lpstr>
      <vt:lpstr>'3971'!_1A.___2023_24_FEFP_State_and_Local_Funding</vt:lpstr>
      <vt:lpstr>'4001'!_1A.___2023_24_FEFP_State_and_Local_Funding</vt:lpstr>
      <vt:lpstr>'4002'!_1A.___2023_24_FEFP_State_and_Local_Funding</vt:lpstr>
      <vt:lpstr>'4012'!_1A.___2023_24_FEFP_State_and_Local_Funding</vt:lpstr>
      <vt:lpstr>'4013'!_1A.___2023_24_FEFP_State_and_Local_Funding</vt:lpstr>
      <vt:lpstr>'4020'!_1A.___2023_24_FEFP_State_and_Local_Funding</vt:lpstr>
      <vt:lpstr>'4030'!_1A.___2023_24_FEFP_State_and_Local_Funding</vt:lpstr>
      <vt:lpstr>'4031'!_1A.___2023_24_FEFP_State_and_Local_Funding</vt:lpstr>
      <vt:lpstr>'4041'!_1A.___2023_24_FEFP_State_and_Local_Funding</vt:lpstr>
      <vt:lpstr>'4050'!_1A.___2023_24_FEFP_State_and_Local_Funding</vt:lpstr>
      <vt:lpstr>'4051'!_1A.___2023_24_FEFP_State_and_Local_Funding</vt:lpstr>
      <vt:lpstr>'4061'!_1A.___2023_24_FEFP_State_and_Local_Funding</vt:lpstr>
      <vt:lpstr>'4080'!_1A.___2023_24_FEFP_State_and_Local_Funding</vt:lpstr>
      <vt:lpstr>'4081'!_1A.___2023_24_FEFP_State_and_Local_Funding</vt:lpstr>
      <vt:lpstr>'4090'!_1A.___2023_24_FEFP_State_and_Local_Funding</vt:lpstr>
      <vt:lpstr>'4091'!_1A.___2023_24_FEFP_State_and_Local_Funding</vt:lpstr>
      <vt:lpstr>'4100'!_1A.___2023_24_FEFP_State_and_Local_Funding</vt:lpstr>
      <vt:lpstr>'4102'!_1A.___2023_24_FEFP_State_and_Local_Funding</vt:lpstr>
      <vt:lpstr>'4103'!_1A.___2023_24_FEFP_State_and_Local_Funding</vt:lpstr>
      <vt:lpstr>'4111'!_1A.___2023_24_FEFP_State_and_Local_Funding</vt:lpstr>
      <vt:lpstr>'4131'!_1A.___2023_24_FEFP_State_and_Local_Funding</vt:lpstr>
      <vt:lpstr>'0100'!_2</vt:lpstr>
      <vt:lpstr>'1461'!_2</vt:lpstr>
      <vt:lpstr>'1571'!_2</vt:lpstr>
      <vt:lpstr>'2521'!_2</vt:lpstr>
      <vt:lpstr>'2531'!_2</vt:lpstr>
      <vt:lpstr>'2791'!_2</vt:lpstr>
      <vt:lpstr>'2801'!_2</vt:lpstr>
      <vt:lpstr>'2911'!_2</vt:lpstr>
      <vt:lpstr>'2941'!_2</vt:lpstr>
      <vt:lpstr>'3083'!_2</vt:lpstr>
      <vt:lpstr>'3345'!_2</vt:lpstr>
      <vt:lpstr>'3381'!_2</vt:lpstr>
      <vt:lpstr>'3382'!_2</vt:lpstr>
      <vt:lpstr>'3391'!_2</vt:lpstr>
      <vt:lpstr>'3394'!_2</vt:lpstr>
      <vt:lpstr>'3395'!_2</vt:lpstr>
      <vt:lpstr>'3396'!_2</vt:lpstr>
      <vt:lpstr>'3398'!_2</vt:lpstr>
      <vt:lpstr>'3400'!_2</vt:lpstr>
      <vt:lpstr>'3401'!_2</vt:lpstr>
      <vt:lpstr>'3413'!_2</vt:lpstr>
      <vt:lpstr>'3421'!_2</vt:lpstr>
      <vt:lpstr>'3431'!_2</vt:lpstr>
      <vt:lpstr>'3441'!_2</vt:lpstr>
      <vt:lpstr>'3924'!_2</vt:lpstr>
      <vt:lpstr>'3941'!_2</vt:lpstr>
      <vt:lpstr>'3961'!_2</vt:lpstr>
      <vt:lpstr>'3971'!_2</vt:lpstr>
      <vt:lpstr>'4001'!_2</vt:lpstr>
      <vt:lpstr>'4002'!_2</vt:lpstr>
      <vt:lpstr>'4012'!_2</vt:lpstr>
      <vt:lpstr>'4013'!_2</vt:lpstr>
      <vt:lpstr>'4020'!_2</vt:lpstr>
      <vt:lpstr>'4030'!_2</vt:lpstr>
      <vt:lpstr>'4031'!_2</vt:lpstr>
      <vt:lpstr>'4041'!_2</vt:lpstr>
      <vt:lpstr>'4050'!_2</vt:lpstr>
      <vt:lpstr>'4051'!_2</vt:lpstr>
      <vt:lpstr>'4061'!_2</vt:lpstr>
      <vt:lpstr>'4080'!_2</vt:lpstr>
      <vt:lpstr>'4081'!_2</vt:lpstr>
      <vt:lpstr>'4090'!_2</vt:lpstr>
      <vt:lpstr>'4091'!_2</vt:lpstr>
      <vt:lpstr>'4100'!_2</vt:lpstr>
      <vt:lpstr>'4102'!_2</vt:lpstr>
      <vt:lpstr>'4103'!_2</vt:lpstr>
      <vt:lpstr>'4111'!_2</vt:lpstr>
      <vt:lpstr>'4131'!_2</vt:lpstr>
      <vt:lpstr>_2</vt:lpstr>
      <vt:lpstr>'0100'!_2010_11_Base_Funding_WFTE_x_BSA_x_DCD</vt:lpstr>
      <vt:lpstr>'1461'!_2010_11_Base_Funding_WFTE_x_BSA_x_DCD</vt:lpstr>
      <vt:lpstr>'1571'!_2010_11_Base_Funding_WFTE_x_BSA_x_DCD</vt:lpstr>
      <vt:lpstr>'2521'!_2010_11_Base_Funding_WFTE_x_BSA_x_DCD</vt:lpstr>
      <vt:lpstr>'2531'!_2010_11_Base_Funding_WFTE_x_BSA_x_DCD</vt:lpstr>
      <vt:lpstr>'2791'!_2010_11_Base_Funding_WFTE_x_BSA_x_DCD</vt:lpstr>
      <vt:lpstr>'2801'!_2010_11_Base_Funding_WFTE_x_BSA_x_DCD</vt:lpstr>
      <vt:lpstr>'2911'!_2010_11_Base_Funding_WFTE_x_BSA_x_DCD</vt:lpstr>
      <vt:lpstr>'2941'!_2010_11_Base_Funding_WFTE_x_BSA_x_DCD</vt:lpstr>
      <vt:lpstr>'3083'!_2010_11_Base_Funding_WFTE_x_BSA_x_DCD</vt:lpstr>
      <vt:lpstr>'3345'!_2010_11_Base_Funding_WFTE_x_BSA_x_DCD</vt:lpstr>
      <vt:lpstr>'3381'!_2010_11_Base_Funding_WFTE_x_BSA_x_DCD</vt:lpstr>
      <vt:lpstr>'3382'!_2010_11_Base_Funding_WFTE_x_BSA_x_DCD</vt:lpstr>
      <vt:lpstr>'3391'!_2010_11_Base_Funding_WFTE_x_BSA_x_DCD</vt:lpstr>
      <vt:lpstr>'3394'!_2010_11_Base_Funding_WFTE_x_BSA_x_DCD</vt:lpstr>
      <vt:lpstr>'3395'!_2010_11_Base_Funding_WFTE_x_BSA_x_DCD</vt:lpstr>
      <vt:lpstr>'3396'!_2010_11_Base_Funding_WFTE_x_BSA_x_DCD</vt:lpstr>
      <vt:lpstr>'3398'!_2010_11_Base_Funding_WFTE_x_BSA_x_DCD</vt:lpstr>
      <vt:lpstr>'3400'!_2010_11_Base_Funding_WFTE_x_BSA_x_DCD</vt:lpstr>
      <vt:lpstr>'3401'!_2010_11_Base_Funding_WFTE_x_BSA_x_DCD</vt:lpstr>
      <vt:lpstr>'3413'!_2010_11_Base_Funding_WFTE_x_BSA_x_DCD</vt:lpstr>
      <vt:lpstr>'3421'!_2010_11_Base_Funding_WFTE_x_BSA_x_DCD</vt:lpstr>
      <vt:lpstr>'3431'!_2010_11_Base_Funding_WFTE_x_BSA_x_DCD</vt:lpstr>
      <vt:lpstr>'3441'!_2010_11_Base_Funding_WFTE_x_BSA_x_DCD</vt:lpstr>
      <vt:lpstr>'3924'!_2010_11_Base_Funding_WFTE_x_BSA_x_DCD</vt:lpstr>
      <vt:lpstr>'3941'!_2010_11_Base_Funding_WFTE_x_BSA_x_DCD</vt:lpstr>
      <vt:lpstr>'3961'!_2010_11_Base_Funding_WFTE_x_BSA_x_DCD</vt:lpstr>
      <vt:lpstr>'3971'!_2010_11_Base_Funding_WFTE_x_BSA_x_DCD</vt:lpstr>
      <vt:lpstr>'4001'!_2010_11_Base_Funding_WFTE_x_BSA_x_DCD</vt:lpstr>
      <vt:lpstr>'4002'!_2010_11_Base_Funding_WFTE_x_BSA_x_DCD</vt:lpstr>
      <vt:lpstr>'4012'!_2010_11_Base_Funding_WFTE_x_BSA_x_DCD</vt:lpstr>
      <vt:lpstr>'4013'!_2010_11_Base_Funding_WFTE_x_BSA_x_DCD</vt:lpstr>
      <vt:lpstr>'4020'!_2010_11_Base_Funding_WFTE_x_BSA_x_DCD</vt:lpstr>
      <vt:lpstr>'4030'!_2010_11_Base_Funding_WFTE_x_BSA_x_DCD</vt:lpstr>
      <vt:lpstr>'4031'!_2010_11_Base_Funding_WFTE_x_BSA_x_DCD</vt:lpstr>
      <vt:lpstr>'4041'!_2010_11_Base_Funding_WFTE_x_BSA_x_DCD</vt:lpstr>
      <vt:lpstr>'4050'!_2010_11_Base_Funding_WFTE_x_BSA_x_DCD</vt:lpstr>
      <vt:lpstr>'4051'!_2010_11_Base_Funding_WFTE_x_BSA_x_DCD</vt:lpstr>
      <vt:lpstr>'4061'!_2010_11_Base_Funding_WFTE_x_BSA_x_DCD</vt:lpstr>
      <vt:lpstr>'4080'!_2010_11_Base_Funding_WFTE_x_BSA_x_DCD</vt:lpstr>
      <vt:lpstr>'4081'!_2010_11_Base_Funding_WFTE_x_BSA_x_DCD</vt:lpstr>
      <vt:lpstr>'4090'!_2010_11_Base_Funding_WFTE_x_BSA_x_DCD</vt:lpstr>
      <vt:lpstr>'4091'!_2010_11_Base_Funding_WFTE_x_BSA_x_DCD</vt:lpstr>
      <vt:lpstr>'4100'!_2010_11_Base_Funding_WFTE_x_BSA_x_DCD</vt:lpstr>
      <vt:lpstr>'4102'!_2010_11_Base_Funding_WFTE_x_BSA_x_DCD</vt:lpstr>
      <vt:lpstr>'4103'!_2010_11_Base_Funding_WFTE_x_BSA_x_DCD</vt:lpstr>
      <vt:lpstr>'4111'!_2010_11_Base_Funding_WFTE_x_BSA_x_DCD</vt:lpstr>
      <vt:lpstr>'4131'!_2010_11_Base_Funding_WFTE_x_BSA_x_DCD</vt:lpstr>
      <vt:lpstr>_2010_11_Base_Funding_WFTE_x_BSA_x_DCD</vt:lpstr>
      <vt:lpstr>'0100'!_254_ESE_Level_4__Grade_Level_4_8</vt:lpstr>
      <vt:lpstr>'1461'!_254_ESE_Level_4__Grade_Level_4_8</vt:lpstr>
      <vt:lpstr>'1571'!_254_ESE_Level_4__Grade_Level_4_8</vt:lpstr>
      <vt:lpstr>'2521'!_254_ESE_Level_4__Grade_Level_4_8</vt:lpstr>
      <vt:lpstr>'2531'!_254_ESE_Level_4__Grade_Level_4_8</vt:lpstr>
      <vt:lpstr>'2791'!_254_ESE_Level_4__Grade_Level_4_8</vt:lpstr>
      <vt:lpstr>'2801'!_254_ESE_Level_4__Grade_Level_4_8</vt:lpstr>
      <vt:lpstr>'2911'!_254_ESE_Level_4__Grade_Level_4_8</vt:lpstr>
      <vt:lpstr>'2941'!_254_ESE_Level_4__Grade_Level_4_8</vt:lpstr>
      <vt:lpstr>'3083'!_254_ESE_Level_4__Grade_Level_4_8</vt:lpstr>
      <vt:lpstr>'3345'!_254_ESE_Level_4__Grade_Level_4_8</vt:lpstr>
      <vt:lpstr>'3381'!_254_ESE_Level_4__Grade_Level_4_8</vt:lpstr>
      <vt:lpstr>'3382'!_254_ESE_Level_4__Grade_Level_4_8</vt:lpstr>
      <vt:lpstr>'3391'!_254_ESE_Level_4__Grade_Level_4_8</vt:lpstr>
      <vt:lpstr>'3394'!_254_ESE_Level_4__Grade_Level_4_8</vt:lpstr>
      <vt:lpstr>'3395'!_254_ESE_Level_4__Grade_Level_4_8</vt:lpstr>
      <vt:lpstr>'3396'!_254_ESE_Level_4__Grade_Level_4_8</vt:lpstr>
      <vt:lpstr>'3398'!_254_ESE_Level_4__Grade_Level_4_8</vt:lpstr>
      <vt:lpstr>'3400'!_254_ESE_Level_4__Grade_Level_4_8</vt:lpstr>
      <vt:lpstr>'3401'!_254_ESE_Level_4__Grade_Level_4_8</vt:lpstr>
      <vt:lpstr>'3413'!_254_ESE_Level_4__Grade_Level_4_8</vt:lpstr>
      <vt:lpstr>'3421'!_254_ESE_Level_4__Grade_Level_4_8</vt:lpstr>
      <vt:lpstr>'3431'!_254_ESE_Level_4__Grade_Level_4_8</vt:lpstr>
      <vt:lpstr>'3441'!_254_ESE_Level_4__Grade_Level_4_8</vt:lpstr>
      <vt:lpstr>'3924'!_254_ESE_Level_4__Grade_Level_4_8</vt:lpstr>
      <vt:lpstr>'3941'!_254_ESE_Level_4__Grade_Level_4_8</vt:lpstr>
      <vt:lpstr>'3961'!_254_ESE_Level_4__Grade_Level_4_8</vt:lpstr>
      <vt:lpstr>'3971'!_254_ESE_Level_4__Grade_Level_4_8</vt:lpstr>
      <vt:lpstr>'4001'!_254_ESE_Level_4__Grade_Level_4_8</vt:lpstr>
      <vt:lpstr>'4002'!_254_ESE_Level_4__Grade_Level_4_8</vt:lpstr>
      <vt:lpstr>'4012'!_254_ESE_Level_4__Grade_Level_4_8</vt:lpstr>
      <vt:lpstr>'4013'!_254_ESE_Level_4__Grade_Level_4_8</vt:lpstr>
      <vt:lpstr>'4020'!_254_ESE_Level_4__Grade_Level_4_8</vt:lpstr>
      <vt:lpstr>'4030'!_254_ESE_Level_4__Grade_Level_4_8</vt:lpstr>
      <vt:lpstr>'4031'!_254_ESE_Level_4__Grade_Level_4_8</vt:lpstr>
      <vt:lpstr>'4041'!_254_ESE_Level_4__Grade_Level_4_8</vt:lpstr>
      <vt:lpstr>'4050'!_254_ESE_Level_4__Grade_Level_4_8</vt:lpstr>
      <vt:lpstr>'4051'!_254_ESE_Level_4__Grade_Level_4_8</vt:lpstr>
      <vt:lpstr>'4061'!_254_ESE_Level_4__Grade_Level_4_8</vt:lpstr>
      <vt:lpstr>'4080'!_254_ESE_Level_4__Grade_Level_4_8</vt:lpstr>
      <vt:lpstr>'4081'!_254_ESE_Level_4__Grade_Level_4_8</vt:lpstr>
      <vt:lpstr>'4090'!_254_ESE_Level_4__Grade_Level_4_8</vt:lpstr>
      <vt:lpstr>'4091'!_254_ESE_Level_4__Grade_Level_4_8</vt:lpstr>
      <vt:lpstr>'4100'!_254_ESE_Level_4__Grade_Level_4_8</vt:lpstr>
      <vt:lpstr>'4102'!_254_ESE_Level_4__Grade_Level_4_8</vt:lpstr>
      <vt:lpstr>'4103'!_254_ESE_Level_4__Grade_Level_4_8</vt:lpstr>
      <vt:lpstr>'4111'!_254_ESE_Level_4__Grade_Level_4_8</vt:lpstr>
      <vt:lpstr>'4131'!_254_ESE_Level_4__Grade_Level_4_8</vt:lpstr>
      <vt:lpstr>_254_ESE_Level_4__Grade_Level_4_8</vt:lpstr>
      <vt:lpstr>'0100'!_254_ESE_Level_4__Grade_Level_9_12</vt:lpstr>
      <vt:lpstr>'1461'!_254_ESE_Level_4__Grade_Level_9_12</vt:lpstr>
      <vt:lpstr>'1571'!_254_ESE_Level_4__Grade_Level_9_12</vt:lpstr>
      <vt:lpstr>'2521'!_254_ESE_Level_4__Grade_Level_9_12</vt:lpstr>
      <vt:lpstr>'2531'!_254_ESE_Level_4__Grade_Level_9_12</vt:lpstr>
      <vt:lpstr>'2791'!_254_ESE_Level_4__Grade_Level_9_12</vt:lpstr>
      <vt:lpstr>'2801'!_254_ESE_Level_4__Grade_Level_9_12</vt:lpstr>
      <vt:lpstr>'2911'!_254_ESE_Level_4__Grade_Level_9_12</vt:lpstr>
      <vt:lpstr>'2941'!_254_ESE_Level_4__Grade_Level_9_12</vt:lpstr>
      <vt:lpstr>'3083'!_254_ESE_Level_4__Grade_Level_9_12</vt:lpstr>
      <vt:lpstr>'3345'!_254_ESE_Level_4__Grade_Level_9_12</vt:lpstr>
      <vt:lpstr>'3381'!_254_ESE_Level_4__Grade_Level_9_12</vt:lpstr>
      <vt:lpstr>'3382'!_254_ESE_Level_4__Grade_Level_9_12</vt:lpstr>
      <vt:lpstr>'3391'!_254_ESE_Level_4__Grade_Level_9_12</vt:lpstr>
      <vt:lpstr>'3394'!_254_ESE_Level_4__Grade_Level_9_12</vt:lpstr>
      <vt:lpstr>'3395'!_254_ESE_Level_4__Grade_Level_9_12</vt:lpstr>
      <vt:lpstr>'3396'!_254_ESE_Level_4__Grade_Level_9_12</vt:lpstr>
      <vt:lpstr>'3398'!_254_ESE_Level_4__Grade_Level_9_12</vt:lpstr>
      <vt:lpstr>'3400'!_254_ESE_Level_4__Grade_Level_9_12</vt:lpstr>
      <vt:lpstr>'3401'!_254_ESE_Level_4__Grade_Level_9_12</vt:lpstr>
      <vt:lpstr>'3413'!_254_ESE_Level_4__Grade_Level_9_12</vt:lpstr>
      <vt:lpstr>'3421'!_254_ESE_Level_4__Grade_Level_9_12</vt:lpstr>
      <vt:lpstr>'3431'!_254_ESE_Level_4__Grade_Level_9_12</vt:lpstr>
      <vt:lpstr>'3441'!_254_ESE_Level_4__Grade_Level_9_12</vt:lpstr>
      <vt:lpstr>'3924'!_254_ESE_Level_4__Grade_Level_9_12</vt:lpstr>
      <vt:lpstr>'3941'!_254_ESE_Level_4__Grade_Level_9_12</vt:lpstr>
      <vt:lpstr>'3961'!_254_ESE_Level_4__Grade_Level_9_12</vt:lpstr>
      <vt:lpstr>'3971'!_254_ESE_Level_4__Grade_Level_9_12</vt:lpstr>
      <vt:lpstr>'4001'!_254_ESE_Level_4__Grade_Level_9_12</vt:lpstr>
      <vt:lpstr>'4002'!_254_ESE_Level_4__Grade_Level_9_12</vt:lpstr>
      <vt:lpstr>'4012'!_254_ESE_Level_4__Grade_Level_9_12</vt:lpstr>
      <vt:lpstr>'4013'!_254_ESE_Level_4__Grade_Level_9_12</vt:lpstr>
      <vt:lpstr>'4020'!_254_ESE_Level_4__Grade_Level_9_12</vt:lpstr>
      <vt:lpstr>'4030'!_254_ESE_Level_4__Grade_Level_9_12</vt:lpstr>
      <vt:lpstr>'4031'!_254_ESE_Level_4__Grade_Level_9_12</vt:lpstr>
      <vt:lpstr>'4041'!_254_ESE_Level_4__Grade_Level_9_12</vt:lpstr>
      <vt:lpstr>'4050'!_254_ESE_Level_4__Grade_Level_9_12</vt:lpstr>
      <vt:lpstr>'4051'!_254_ESE_Level_4__Grade_Level_9_12</vt:lpstr>
      <vt:lpstr>'4061'!_254_ESE_Level_4__Grade_Level_9_12</vt:lpstr>
      <vt:lpstr>'4080'!_254_ESE_Level_4__Grade_Level_9_12</vt:lpstr>
      <vt:lpstr>'4081'!_254_ESE_Level_4__Grade_Level_9_12</vt:lpstr>
      <vt:lpstr>'4090'!_254_ESE_Level_4__Grade_Level_9_12</vt:lpstr>
      <vt:lpstr>'4091'!_254_ESE_Level_4__Grade_Level_9_12</vt:lpstr>
      <vt:lpstr>'4100'!_254_ESE_Level_4__Grade_Level_9_12</vt:lpstr>
      <vt:lpstr>'4102'!_254_ESE_Level_4__Grade_Level_9_12</vt:lpstr>
      <vt:lpstr>'4103'!_254_ESE_Level_4__Grade_Level_9_12</vt:lpstr>
      <vt:lpstr>'4111'!_254_ESE_Level_4__Grade_Level_9_12</vt:lpstr>
      <vt:lpstr>'4131'!_254_ESE_Level_4__Grade_Level_9_12</vt:lpstr>
      <vt:lpstr>_254_ESE_Level_4__Grade_Level_9_12</vt:lpstr>
      <vt:lpstr>'0100'!_254_ESE_Level_4__Grade_Level_PK_3</vt:lpstr>
      <vt:lpstr>'1461'!_254_ESE_Level_4__Grade_Level_PK_3</vt:lpstr>
      <vt:lpstr>'1571'!_254_ESE_Level_4__Grade_Level_PK_3</vt:lpstr>
      <vt:lpstr>'2521'!_254_ESE_Level_4__Grade_Level_PK_3</vt:lpstr>
      <vt:lpstr>'2531'!_254_ESE_Level_4__Grade_Level_PK_3</vt:lpstr>
      <vt:lpstr>'2791'!_254_ESE_Level_4__Grade_Level_PK_3</vt:lpstr>
      <vt:lpstr>'2801'!_254_ESE_Level_4__Grade_Level_PK_3</vt:lpstr>
      <vt:lpstr>'2911'!_254_ESE_Level_4__Grade_Level_PK_3</vt:lpstr>
      <vt:lpstr>'2941'!_254_ESE_Level_4__Grade_Level_PK_3</vt:lpstr>
      <vt:lpstr>'3083'!_254_ESE_Level_4__Grade_Level_PK_3</vt:lpstr>
      <vt:lpstr>'3345'!_254_ESE_Level_4__Grade_Level_PK_3</vt:lpstr>
      <vt:lpstr>'3381'!_254_ESE_Level_4__Grade_Level_PK_3</vt:lpstr>
      <vt:lpstr>'3382'!_254_ESE_Level_4__Grade_Level_PK_3</vt:lpstr>
      <vt:lpstr>'3391'!_254_ESE_Level_4__Grade_Level_PK_3</vt:lpstr>
      <vt:lpstr>'3394'!_254_ESE_Level_4__Grade_Level_PK_3</vt:lpstr>
      <vt:lpstr>'3395'!_254_ESE_Level_4__Grade_Level_PK_3</vt:lpstr>
      <vt:lpstr>'3396'!_254_ESE_Level_4__Grade_Level_PK_3</vt:lpstr>
      <vt:lpstr>'3398'!_254_ESE_Level_4__Grade_Level_PK_3</vt:lpstr>
      <vt:lpstr>'3400'!_254_ESE_Level_4__Grade_Level_PK_3</vt:lpstr>
      <vt:lpstr>'3401'!_254_ESE_Level_4__Grade_Level_PK_3</vt:lpstr>
      <vt:lpstr>'3413'!_254_ESE_Level_4__Grade_Level_PK_3</vt:lpstr>
      <vt:lpstr>'3421'!_254_ESE_Level_4__Grade_Level_PK_3</vt:lpstr>
      <vt:lpstr>'3431'!_254_ESE_Level_4__Grade_Level_PK_3</vt:lpstr>
      <vt:lpstr>'3441'!_254_ESE_Level_4__Grade_Level_PK_3</vt:lpstr>
      <vt:lpstr>'3924'!_254_ESE_Level_4__Grade_Level_PK_3</vt:lpstr>
      <vt:lpstr>'3941'!_254_ESE_Level_4__Grade_Level_PK_3</vt:lpstr>
      <vt:lpstr>'3961'!_254_ESE_Level_4__Grade_Level_PK_3</vt:lpstr>
      <vt:lpstr>'3971'!_254_ESE_Level_4__Grade_Level_PK_3</vt:lpstr>
      <vt:lpstr>'4001'!_254_ESE_Level_4__Grade_Level_PK_3</vt:lpstr>
      <vt:lpstr>'4002'!_254_ESE_Level_4__Grade_Level_PK_3</vt:lpstr>
      <vt:lpstr>'4012'!_254_ESE_Level_4__Grade_Level_PK_3</vt:lpstr>
      <vt:lpstr>'4013'!_254_ESE_Level_4__Grade_Level_PK_3</vt:lpstr>
      <vt:lpstr>'4020'!_254_ESE_Level_4__Grade_Level_PK_3</vt:lpstr>
      <vt:lpstr>'4030'!_254_ESE_Level_4__Grade_Level_PK_3</vt:lpstr>
      <vt:lpstr>'4031'!_254_ESE_Level_4__Grade_Level_PK_3</vt:lpstr>
      <vt:lpstr>'4041'!_254_ESE_Level_4__Grade_Level_PK_3</vt:lpstr>
      <vt:lpstr>'4050'!_254_ESE_Level_4__Grade_Level_PK_3</vt:lpstr>
      <vt:lpstr>'4051'!_254_ESE_Level_4__Grade_Level_PK_3</vt:lpstr>
      <vt:lpstr>'4061'!_254_ESE_Level_4__Grade_Level_PK_3</vt:lpstr>
      <vt:lpstr>'4080'!_254_ESE_Level_4__Grade_Level_PK_3</vt:lpstr>
      <vt:lpstr>'4081'!_254_ESE_Level_4__Grade_Level_PK_3</vt:lpstr>
      <vt:lpstr>'4090'!_254_ESE_Level_4__Grade_Level_PK_3</vt:lpstr>
      <vt:lpstr>'4091'!_254_ESE_Level_4__Grade_Level_PK_3</vt:lpstr>
      <vt:lpstr>'4100'!_254_ESE_Level_4__Grade_Level_PK_3</vt:lpstr>
      <vt:lpstr>'4102'!_254_ESE_Level_4__Grade_Level_PK_3</vt:lpstr>
      <vt:lpstr>'4103'!_254_ESE_Level_4__Grade_Level_PK_3</vt:lpstr>
      <vt:lpstr>'4111'!_254_ESE_Level_4__Grade_Level_PK_3</vt:lpstr>
      <vt:lpstr>'4131'!_254_ESE_Level_4__Grade_Level_PK_3</vt:lpstr>
      <vt:lpstr>_254_ESE_Level_4__Grade_Level_PK_3</vt:lpstr>
      <vt:lpstr>'0100'!_255_ESE_Level_5__Grade_Level_4_8</vt:lpstr>
      <vt:lpstr>'1461'!_255_ESE_Level_5__Grade_Level_4_8</vt:lpstr>
      <vt:lpstr>'1571'!_255_ESE_Level_5__Grade_Level_4_8</vt:lpstr>
      <vt:lpstr>'2521'!_255_ESE_Level_5__Grade_Level_4_8</vt:lpstr>
      <vt:lpstr>'2531'!_255_ESE_Level_5__Grade_Level_4_8</vt:lpstr>
      <vt:lpstr>'2791'!_255_ESE_Level_5__Grade_Level_4_8</vt:lpstr>
      <vt:lpstr>'2801'!_255_ESE_Level_5__Grade_Level_4_8</vt:lpstr>
      <vt:lpstr>'2911'!_255_ESE_Level_5__Grade_Level_4_8</vt:lpstr>
      <vt:lpstr>'2941'!_255_ESE_Level_5__Grade_Level_4_8</vt:lpstr>
      <vt:lpstr>'3083'!_255_ESE_Level_5__Grade_Level_4_8</vt:lpstr>
      <vt:lpstr>'3345'!_255_ESE_Level_5__Grade_Level_4_8</vt:lpstr>
      <vt:lpstr>'3381'!_255_ESE_Level_5__Grade_Level_4_8</vt:lpstr>
      <vt:lpstr>'3382'!_255_ESE_Level_5__Grade_Level_4_8</vt:lpstr>
      <vt:lpstr>'3391'!_255_ESE_Level_5__Grade_Level_4_8</vt:lpstr>
      <vt:lpstr>'3394'!_255_ESE_Level_5__Grade_Level_4_8</vt:lpstr>
      <vt:lpstr>'3395'!_255_ESE_Level_5__Grade_Level_4_8</vt:lpstr>
      <vt:lpstr>'3396'!_255_ESE_Level_5__Grade_Level_4_8</vt:lpstr>
      <vt:lpstr>'3398'!_255_ESE_Level_5__Grade_Level_4_8</vt:lpstr>
      <vt:lpstr>'3400'!_255_ESE_Level_5__Grade_Level_4_8</vt:lpstr>
      <vt:lpstr>'3401'!_255_ESE_Level_5__Grade_Level_4_8</vt:lpstr>
      <vt:lpstr>'3413'!_255_ESE_Level_5__Grade_Level_4_8</vt:lpstr>
      <vt:lpstr>'3421'!_255_ESE_Level_5__Grade_Level_4_8</vt:lpstr>
      <vt:lpstr>'3431'!_255_ESE_Level_5__Grade_Level_4_8</vt:lpstr>
      <vt:lpstr>'3441'!_255_ESE_Level_5__Grade_Level_4_8</vt:lpstr>
      <vt:lpstr>'3924'!_255_ESE_Level_5__Grade_Level_4_8</vt:lpstr>
      <vt:lpstr>'3941'!_255_ESE_Level_5__Grade_Level_4_8</vt:lpstr>
      <vt:lpstr>'3961'!_255_ESE_Level_5__Grade_Level_4_8</vt:lpstr>
      <vt:lpstr>'3971'!_255_ESE_Level_5__Grade_Level_4_8</vt:lpstr>
      <vt:lpstr>'4001'!_255_ESE_Level_5__Grade_Level_4_8</vt:lpstr>
      <vt:lpstr>'4002'!_255_ESE_Level_5__Grade_Level_4_8</vt:lpstr>
      <vt:lpstr>'4012'!_255_ESE_Level_5__Grade_Level_4_8</vt:lpstr>
      <vt:lpstr>'4013'!_255_ESE_Level_5__Grade_Level_4_8</vt:lpstr>
      <vt:lpstr>'4020'!_255_ESE_Level_5__Grade_Level_4_8</vt:lpstr>
      <vt:lpstr>'4030'!_255_ESE_Level_5__Grade_Level_4_8</vt:lpstr>
      <vt:lpstr>'4031'!_255_ESE_Level_5__Grade_Level_4_8</vt:lpstr>
      <vt:lpstr>'4041'!_255_ESE_Level_5__Grade_Level_4_8</vt:lpstr>
      <vt:lpstr>'4050'!_255_ESE_Level_5__Grade_Level_4_8</vt:lpstr>
      <vt:lpstr>'4051'!_255_ESE_Level_5__Grade_Level_4_8</vt:lpstr>
      <vt:lpstr>'4061'!_255_ESE_Level_5__Grade_Level_4_8</vt:lpstr>
      <vt:lpstr>'4080'!_255_ESE_Level_5__Grade_Level_4_8</vt:lpstr>
      <vt:lpstr>'4081'!_255_ESE_Level_5__Grade_Level_4_8</vt:lpstr>
      <vt:lpstr>'4090'!_255_ESE_Level_5__Grade_Level_4_8</vt:lpstr>
      <vt:lpstr>'4091'!_255_ESE_Level_5__Grade_Level_4_8</vt:lpstr>
      <vt:lpstr>'4100'!_255_ESE_Level_5__Grade_Level_4_8</vt:lpstr>
      <vt:lpstr>'4102'!_255_ESE_Level_5__Grade_Level_4_8</vt:lpstr>
      <vt:lpstr>'4103'!_255_ESE_Level_5__Grade_Level_4_8</vt:lpstr>
      <vt:lpstr>'4111'!_255_ESE_Level_5__Grade_Level_4_8</vt:lpstr>
      <vt:lpstr>'4131'!_255_ESE_Level_5__Grade_Level_4_8</vt:lpstr>
      <vt:lpstr>_255_ESE_Level_5__Grade_Level_4_8</vt:lpstr>
      <vt:lpstr>'0100'!_255_ESE_Level_5__Grade_Level_9_12</vt:lpstr>
      <vt:lpstr>'1461'!_255_ESE_Level_5__Grade_Level_9_12</vt:lpstr>
      <vt:lpstr>'1571'!_255_ESE_Level_5__Grade_Level_9_12</vt:lpstr>
      <vt:lpstr>'2521'!_255_ESE_Level_5__Grade_Level_9_12</vt:lpstr>
      <vt:lpstr>'2531'!_255_ESE_Level_5__Grade_Level_9_12</vt:lpstr>
      <vt:lpstr>'2791'!_255_ESE_Level_5__Grade_Level_9_12</vt:lpstr>
      <vt:lpstr>'2801'!_255_ESE_Level_5__Grade_Level_9_12</vt:lpstr>
      <vt:lpstr>'2911'!_255_ESE_Level_5__Grade_Level_9_12</vt:lpstr>
      <vt:lpstr>'2941'!_255_ESE_Level_5__Grade_Level_9_12</vt:lpstr>
      <vt:lpstr>'3083'!_255_ESE_Level_5__Grade_Level_9_12</vt:lpstr>
      <vt:lpstr>'3345'!_255_ESE_Level_5__Grade_Level_9_12</vt:lpstr>
      <vt:lpstr>'3381'!_255_ESE_Level_5__Grade_Level_9_12</vt:lpstr>
      <vt:lpstr>'3382'!_255_ESE_Level_5__Grade_Level_9_12</vt:lpstr>
      <vt:lpstr>'3391'!_255_ESE_Level_5__Grade_Level_9_12</vt:lpstr>
      <vt:lpstr>'3394'!_255_ESE_Level_5__Grade_Level_9_12</vt:lpstr>
      <vt:lpstr>'3395'!_255_ESE_Level_5__Grade_Level_9_12</vt:lpstr>
      <vt:lpstr>'3396'!_255_ESE_Level_5__Grade_Level_9_12</vt:lpstr>
      <vt:lpstr>'3398'!_255_ESE_Level_5__Grade_Level_9_12</vt:lpstr>
      <vt:lpstr>'3400'!_255_ESE_Level_5__Grade_Level_9_12</vt:lpstr>
      <vt:lpstr>'3401'!_255_ESE_Level_5__Grade_Level_9_12</vt:lpstr>
      <vt:lpstr>'3413'!_255_ESE_Level_5__Grade_Level_9_12</vt:lpstr>
      <vt:lpstr>'3421'!_255_ESE_Level_5__Grade_Level_9_12</vt:lpstr>
      <vt:lpstr>'3431'!_255_ESE_Level_5__Grade_Level_9_12</vt:lpstr>
      <vt:lpstr>'3441'!_255_ESE_Level_5__Grade_Level_9_12</vt:lpstr>
      <vt:lpstr>'3924'!_255_ESE_Level_5__Grade_Level_9_12</vt:lpstr>
      <vt:lpstr>'3941'!_255_ESE_Level_5__Grade_Level_9_12</vt:lpstr>
      <vt:lpstr>'3961'!_255_ESE_Level_5__Grade_Level_9_12</vt:lpstr>
      <vt:lpstr>'3971'!_255_ESE_Level_5__Grade_Level_9_12</vt:lpstr>
      <vt:lpstr>'4001'!_255_ESE_Level_5__Grade_Level_9_12</vt:lpstr>
      <vt:lpstr>'4002'!_255_ESE_Level_5__Grade_Level_9_12</vt:lpstr>
      <vt:lpstr>'4012'!_255_ESE_Level_5__Grade_Level_9_12</vt:lpstr>
      <vt:lpstr>'4013'!_255_ESE_Level_5__Grade_Level_9_12</vt:lpstr>
      <vt:lpstr>'4020'!_255_ESE_Level_5__Grade_Level_9_12</vt:lpstr>
      <vt:lpstr>'4030'!_255_ESE_Level_5__Grade_Level_9_12</vt:lpstr>
      <vt:lpstr>'4031'!_255_ESE_Level_5__Grade_Level_9_12</vt:lpstr>
      <vt:lpstr>'4041'!_255_ESE_Level_5__Grade_Level_9_12</vt:lpstr>
      <vt:lpstr>'4050'!_255_ESE_Level_5__Grade_Level_9_12</vt:lpstr>
      <vt:lpstr>'4051'!_255_ESE_Level_5__Grade_Level_9_12</vt:lpstr>
      <vt:lpstr>'4061'!_255_ESE_Level_5__Grade_Level_9_12</vt:lpstr>
      <vt:lpstr>'4080'!_255_ESE_Level_5__Grade_Level_9_12</vt:lpstr>
      <vt:lpstr>'4081'!_255_ESE_Level_5__Grade_Level_9_12</vt:lpstr>
      <vt:lpstr>'4090'!_255_ESE_Level_5__Grade_Level_9_12</vt:lpstr>
      <vt:lpstr>'4091'!_255_ESE_Level_5__Grade_Level_9_12</vt:lpstr>
      <vt:lpstr>'4100'!_255_ESE_Level_5__Grade_Level_9_12</vt:lpstr>
      <vt:lpstr>'4102'!_255_ESE_Level_5__Grade_Level_9_12</vt:lpstr>
      <vt:lpstr>'4103'!_255_ESE_Level_5__Grade_Level_9_12</vt:lpstr>
      <vt:lpstr>'4111'!_255_ESE_Level_5__Grade_Level_9_12</vt:lpstr>
      <vt:lpstr>'4131'!_255_ESE_Level_5__Grade_Level_9_12</vt:lpstr>
      <vt:lpstr>_255_ESE_Level_5__Grade_Level_9_12</vt:lpstr>
      <vt:lpstr>'0100'!_255_ESE_Level_5__Grade_Level_PK_3</vt:lpstr>
      <vt:lpstr>'1461'!_255_ESE_Level_5__Grade_Level_PK_3</vt:lpstr>
      <vt:lpstr>'1571'!_255_ESE_Level_5__Grade_Level_PK_3</vt:lpstr>
      <vt:lpstr>'2521'!_255_ESE_Level_5__Grade_Level_PK_3</vt:lpstr>
      <vt:lpstr>'2531'!_255_ESE_Level_5__Grade_Level_PK_3</vt:lpstr>
      <vt:lpstr>'2791'!_255_ESE_Level_5__Grade_Level_PK_3</vt:lpstr>
      <vt:lpstr>'2801'!_255_ESE_Level_5__Grade_Level_PK_3</vt:lpstr>
      <vt:lpstr>'2911'!_255_ESE_Level_5__Grade_Level_PK_3</vt:lpstr>
      <vt:lpstr>'2941'!_255_ESE_Level_5__Grade_Level_PK_3</vt:lpstr>
      <vt:lpstr>'3083'!_255_ESE_Level_5__Grade_Level_PK_3</vt:lpstr>
      <vt:lpstr>'3345'!_255_ESE_Level_5__Grade_Level_PK_3</vt:lpstr>
      <vt:lpstr>'3381'!_255_ESE_Level_5__Grade_Level_PK_3</vt:lpstr>
      <vt:lpstr>'3382'!_255_ESE_Level_5__Grade_Level_PK_3</vt:lpstr>
      <vt:lpstr>'3391'!_255_ESE_Level_5__Grade_Level_PK_3</vt:lpstr>
      <vt:lpstr>'3394'!_255_ESE_Level_5__Grade_Level_PK_3</vt:lpstr>
      <vt:lpstr>'3395'!_255_ESE_Level_5__Grade_Level_PK_3</vt:lpstr>
      <vt:lpstr>'3396'!_255_ESE_Level_5__Grade_Level_PK_3</vt:lpstr>
      <vt:lpstr>'3398'!_255_ESE_Level_5__Grade_Level_PK_3</vt:lpstr>
      <vt:lpstr>'3400'!_255_ESE_Level_5__Grade_Level_PK_3</vt:lpstr>
      <vt:lpstr>'3401'!_255_ESE_Level_5__Grade_Level_PK_3</vt:lpstr>
      <vt:lpstr>'3413'!_255_ESE_Level_5__Grade_Level_PK_3</vt:lpstr>
      <vt:lpstr>'3421'!_255_ESE_Level_5__Grade_Level_PK_3</vt:lpstr>
      <vt:lpstr>'3431'!_255_ESE_Level_5__Grade_Level_PK_3</vt:lpstr>
      <vt:lpstr>'3441'!_255_ESE_Level_5__Grade_Level_PK_3</vt:lpstr>
      <vt:lpstr>'3924'!_255_ESE_Level_5__Grade_Level_PK_3</vt:lpstr>
      <vt:lpstr>'3941'!_255_ESE_Level_5__Grade_Level_PK_3</vt:lpstr>
      <vt:lpstr>'3961'!_255_ESE_Level_5__Grade_Level_PK_3</vt:lpstr>
      <vt:lpstr>'3971'!_255_ESE_Level_5__Grade_Level_PK_3</vt:lpstr>
      <vt:lpstr>'4001'!_255_ESE_Level_5__Grade_Level_PK_3</vt:lpstr>
      <vt:lpstr>'4002'!_255_ESE_Level_5__Grade_Level_PK_3</vt:lpstr>
      <vt:lpstr>'4012'!_255_ESE_Level_5__Grade_Level_PK_3</vt:lpstr>
      <vt:lpstr>'4013'!_255_ESE_Level_5__Grade_Level_PK_3</vt:lpstr>
      <vt:lpstr>'4020'!_255_ESE_Level_5__Grade_Level_PK_3</vt:lpstr>
      <vt:lpstr>'4030'!_255_ESE_Level_5__Grade_Level_PK_3</vt:lpstr>
      <vt:lpstr>'4031'!_255_ESE_Level_5__Grade_Level_PK_3</vt:lpstr>
      <vt:lpstr>'4041'!_255_ESE_Level_5__Grade_Level_PK_3</vt:lpstr>
      <vt:lpstr>'4050'!_255_ESE_Level_5__Grade_Level_PK_3</vt:lpstr>
      <vt:lpstr>'4051'!_255_ESE_Level_5__Grade_Level_PK_3</vt:lpstr>
      <vt:lpstr>'4061'!_255_ESE_Level_5__Grade_Level_PK_3</vt:lpstr>
      <vt:lpstr>'4080'!_255_ESE_Level_5__Grade_Level_PK_3</vt:lpstr>
      <vt:lpstr>'4081'!_255_ESE_Level_5__Grade_Level_PK_3</vt:lpstr>
      <vt:lpstr>'4090'!_255_ESE_Level_5__Grade_Level_PK_3</vt:lpstr>
      <vt:lpstr>'4091'!_255_ESE_Level_5__Grade_Level_PK_3</vt:lpstr>
      <vt:lpstr>'4100'!_255_ESE_Level_5__Grade_Level_PK_3</vt:lpstr>
      <vt:lpstr>'4102'!_255_ESE_Level_5__Grade_Level_PK_3</vt:lpstr>
      <vt:lpstr>'4103'!_255_ESE_Level_5__Grade_Level_PK_3</vt:lpstr>
      <vt:lpstr>'4111'!_255_ESE_Level_5__Grade_Level_PK_3</vt:lpstr>
      <vt:lpstr>'4131'!_255_ESE_Level_5__Grade_Level_PK_3</vt:lpstr>
      <vt:lpstr>_255_ESE_Level_5__Grade_Level_PK_3</vt:lpstr>
      <vt:lpstr>'0100'!_300_Career_Education__Grades_9_12</vt:lpstr>
      <vt:lpstr>'1461'!_300_Career_Education__Grades_9_12</vt:lpstr>
      <vt:lpstr>'1571'!_300_Career_Education__Grades_9_12</vt:lpstr>
      <vt:lpstr>'2521'!_300_Career_Education__Grades_9_12</vt:lpstr>
      <vt:lpstr>'2531'!_300_Career_Education__Grades_9_12</vt:lpstr>
      <vt:lpstr>'2791'!_300_Career_Education__Grades_9_12</vt:lpstr>
      <vt:lpstr>'2801'!_300_Career_Education__Grades_9_12</vt:lpstr>
      <vt:lpstr>'2911'!_300_Career_Education__Grades_9_12</vt:lpstr>
      <vt:lpstr>'2941'!_300_Career_Education__Grades_9_12</vt:lpstr>
      <vt:lpstr>'3083'!_300_Career_Education__Grades_9_12</vt:lpstr>
      <vt:lpstr>'3345'!_300_Career_Education__Grades_9_12</vt:lpstr>
      <vt:lpstr>'3381'!_300_Career_Education__Grades_9_12</vt:lpstr>
      <vt:lpstr>'3382'!_300_Career_Education__Grades_9_12</vt:lpstr>
      <vt:lpstr>'3391'!_300_Career_Education__Grades_9_12</vt:lpstr>
      <vt:lpstr>'3394'!_300_Career_Education__Grades_9_12</vt:lpstr>
      <vt:lpstr>'3395'!_300_Career_Education__Grades_9_12</vt:lpstr>
      <vt:lpstr>'3396'!_300_Career_Education__Grades_9_12</vt:lpstr>
      <vt:lpstr>'3398'!_300_Career_Education__Grades_9_12</vt:lpstr>
      <vt:lpstr>'3400'!_300_Career_Education__Grades_9_12</vt:lpstr>
      <vt:lpstr>'3401'!_300_Career_Education__Grades_9_12</vt:lpstr>
      <vt:lpstr>'3413'!_300_Career_Education__Grades_9_12</vt:lpstr>
      <vt:lpstr>'3421'!_300_Career_Education__Grades_9_12</vt:lpstr>
      <vt:lpstr>'3431'!_300_Career_Education__Grades_9_12</vt:lpstr>
      <vt:lpstr>'3441'!_300_Career_Education__Grades_9_12</vt:lpstr>
      <vt:lpstr>'3924'!_300_Career_Education__Grades_9_12</vt:lpstr>
      <vt:lpstr>'3941'!_300_Career_Education__Grades_9_12</vt:lpstr>
      <vt:lpstr>'3961'!_300_Career_Education__Grades_9_12</vt:lpstr>
      <vt:lpstr>'3971'!_300_Career_Education__Grades_9_12</vt:lpstr>
      <vt:lpstr>'4001'!_300_Career_Education__Grades_9_12</vt:lpstr>
      <vt:lpstr>'4002'!_300_Career_Education__Grades_9_12</vt:lpstr>
      <vt:lpstr>'4012'!_300_Career_Education__Grades_9_12</vt:lpstr>
      <vt:lpstr>'4013'!_300_Career_Education__Grades_9_12</vt:lpstr>
      <vt:lpstr>'4020'!_300_Career_Education__Grades_9_12</vt:lpstr>
      <vt:lpstr>'4030'!_300_Career_Education__Grades_9_12</vt:lpstr>
      <vt:lpstr>'4031'!_300_Career_Education__Grades_9_12</vt:lpstr>
      <vt:lpstr>'4041'!_300_Career_Education__Grades_9_12</vt:lpstr>
      <vt:lpstr>'4050'!_300_Career_Education__Grades_9_12</vt:lpstr>
      <vt:lpstr>'4051'!_300_Career_Education__Grades_9_12</vt:lpstr>
      <vt:lpstr>'4061'!_300_Career_Education__Grades_9_12</vt:lpstr>
      <vt:lpstr>'4080'!_300_Career_Education__Grades_9_12</vt:lpstr>
      <vt:lpstr>'4081'!_300_Career_Education__Grades_9_12</vt:lpstr>
      <vt:lpstr>'4090'!_300_Career_Education__Grades_9_12</vt:lpstr>
      <vt:lpstr>'4091'!_300_Career_Education__Grades_9_12</vt:lpstr>
      <vt:lpstr>'4100'!_300_Career_Education__Grades_9_12</vt:lpstr>
      <vt:lpstr>'4102'!_300_Career_Education__Grades_9_12</vt:lpstr>
      <vt:lpstr>'4103'!_300_Career_Education__Grades_9_12</vt:lpstr>
      <vt:lpstr>'4111'!_300_Career_Education__Grades_9_12</vt:lpstr>
      <vt:lpstr>'4131'!_300_Career_Education__Grades_9_12</vt:lpstr>
      <vt:lpstr>_300_Career_Education__Grades_9_12</vt:lpstr>
      <vt:lpstr>'0100'!_4_8</vt:lpstr>
      <vt:lpstr>'1461'!_4_8</vt:lpstr>
      <vt:lpstr>'1571'!_4_8</vt:lpstr>
      <vt:lpstr>'2521'!_4_8</vt:lpstr>
      <vt:lpstr>'2531'!_4_8</vt:lpstr>
      <vt:lpstr>'2791'!_4_8</vt:lpstr>
      <vt:lpstr>'2801'!_4_8</vt:lpstr>
      <vt:lpstr>'2911'!_4_8</vt:lpstr>
      <vt:lpstr>'2941'!_4_8</vt:lpstr>
      <vt:lpstr>'3083'!_4_8</vt:lpstr>
      <vt:lpstr>'3345'!_4_8</vt:lpstr>
      <vt:lpstr>'3381'!_4_8</vt:lpstr>
      <vt:lpstr>'3382'!_4_8</vt:lpstr>
      <vt:lpstr>'3391'!_4_8</vt:lpstr>
      <vt:lpstr>'3394'!_4_8</vt:lpstr>
      <vt:lpstr>'3395'!_4_8</vt:lpstr>
      <vt:lpstr>'3396'!_4_8</vt:lpstr>
      <vt:lpstr>'3398'!_4_8</vt:lpstr>
      <vt:lpstr>'3400'!_4_8</vt:lpstr>
      <vt:lpstr>'3401'!_4_8</vt:lpstr>
      <vt:lpstr>'3413'!_4_8</vt:lpstr>
      <vt:lpstr>'3421'!_4_8</vt:lpstr>
      <vt:lpstr>'3431'!_4_8</vt:lpstr>
      <vt:lpstr>'3441'!_4_8</vt:lpstr>
      <vt:lpstr>'3924'!_4_8</vt:lpstr>
      <vt:lpstr>'3941'!_4_8</vt:lpstr>
      <vt:lpstr>'3961'!_4_8</vt:lpstr>
      <vt:lpstr>'3971'!_4_8</vt:lpstr>
      <vt:lpstr>'4001'!_4_8</vt:lpstr>
      <vt:lpstr>'4002'!_4_8</vt:lpstr>
      <vt:lpstr>'4012'!_4_8</vt:lpstr>
      <vt:lpstr>'4013'!_4_8</vt:lpstr>
      <vt:lpstr>'4020'!_4_8</vt:lpstr>
      <vt:lpstr>'4030'!_4_8</vt:lpstr>
      <vt:lpstr>'4031'!_4_8</vt:lpstr>
      <vt:lpstr>'4041'!_4_8</vt:lpstr>
      <vt:lpstr>'4050'!_4_8</vt:lpstr>
      <vt:lpstr>'4051'!_4_8</vt:lpstr>
      <vt:lpstr>'4061'!_4_8</vt:lpstr>
      <vt:lpstr>'4080'!_4_8</vt:lpstr>
      <vt:lpstr>'4081'!_4_8</vt:lpstr>
      <vt:lpstr>'4090'!_4_8</vt:lpstr>
      <vt:lpstr>'4091'!_4_8</vt:lpstr>
      <vt:lpstr>'4100'!_4_8</vt:lpstr>
      <vt:lpstr>'4102'!_4_8</vt:lpstr>
      <vt:lpstr>'4103'!_4_8</vt:lpstr>
      <vt:lpstr>'4111'!_4_8</vt:lpstr>
      <vt:lpstr>'4131'!_4_8</vt:lpstr>
      <vt:lpstr>_4_8</vt:lpstr>
      <vt:lpstr>'0100'!_9_12</vt:lpstr>
      <vt:lpstr>'1461'!_9_12</vt:lpstr>
      <vt:lpstr>'1571'!_9_12</vt:lpstr>
      <vt:lpstr>'2521'!_9_12</vt:lpstr>
      <vt:lpstr>'2531'!_9_12</vt:lpstr>
      <vt:lpstr>'2791'!_9_12</vt:lpstr>
      <vt:lpstr>'2801'!_9_12</vt:lpstr>
      <vt:lpstr>'2911'!_9_12</vt:lpstr>
      <vt:lpstr>'2941'!_9_12</vt:lpstr>
      <vt:lpstr>'3083'!_9_12</vt:lpstr>
      <vt:lpstr>'3345'!_9_12</vt:lpstr>
      <vt:lpstr>'3381'!_9_12</vt:lpstr>
      <vt:lpstr>'3382'!_9_12</vt:lpstr>
      <vt:lpstr>'3391'!_9_12</vt:lpstr>
      <vt:lpstr>'3394'!_9_12</vt:lpstr>
      <vt:lpstr>'3395'!_9_12</vt:lpstr>
      <vt:lpstr>'3396'!_9_12</vt:lpstr>
      <vt:lpstr>'3398'!_9_12</vt:lpstr>
      <vt:lpstr>'3400'!_9_12</vt:lpstr>
      <vt:lpstr>'3401'!_9_12</vt:lpstr>
      <vt:lpstr>'3413'!_9_12</vt:lpstr>
      <vt:lpstr>'3421'!_9_12</vt:lpstr>
      <vt:lpstr>'3431'!_9_12</vt:lpstr>
      <vt:lpstr>'3441'!_9_12</vt:lpstr>
      <vt:lpstr>'3924'!_9_12</vt:lpstr>
      <vt:lpstr>'3941'!_9_12</vt:lpstr>
      <vt:lpstr>'3961'!_9_12</vt:lpstr>
      <vt:lpstr>'3971'!_9_12</vt:lpstr>
      <vt:lpstr>'4001'!_9_12</vt:lpstr>
      <vt:lpstr>'4002'!_9_12</vt:lpstr>
      <vt:lpstr>'4012'!_9_12</vt:lpstr>
      <vt:lpstr>'4013'!_9_12</vt:lpstr>
      <vt:lpstr>'4020'!_9_12</vt:lpstr>
      <vt:lpstr>'4030'!_9_12</vt:lpstr>
      <vt:lpstr>'4031'!_9_12</vt:lpstr>
      <vt:lpstr>'4041'!_9_12</vt:lpstr>
      <vt:lpstr>'4050'!_9_12</vt:lpstr>
      <vt:lpstr>'4051'!_9_12</vt:lpstr>
      <vt:lpstr>'4061'!_9_12</vt:lpstr>
      <vt:lpstr>'4080'!_9_12</vt:lpstr>
      <vt:lpstr>'4081'!_9_12</vt:lpstr>
      <vt:lpstr>'4090'!_9_12</vt:lpstr>
      <vt:lpstr>'4091'!_9_12</vt:lpstr>
      <vt:lpstr>'4100'!_9_12</vt:lpstr>
      <vt:lpstr>'4102'!_9_12</vt:lpstr>
      <vt:lpstr>'4103'!_9_12</vt:lpstr>
      <vt:lpstr>'4111'!_9_12</vt:lpstr>
      <vt:lpstr>'4131'!_9_12</vt:lpstr>
      <vt:lpstr>_9_12</vt:lpstr>
      <vt:lpstr>'0100'!Allocation_factors</vt:lpstr>
      <vt:lpstr>'1461'!Allocation_factors</vt:lpstr>
      <vt:lpstr>'1571'!Allocation_factors</vt:lpstr>
      <vt:lpstr>'2521'!Allocation_factors</vt:lpstr>
      <vt:lpstr>'2531'!Allocation_factors</vt:lpstr>
      <vt:lpstr>'2791'!Allocation_factors</vt:lpstr>
      <vt:lpstr>'2801'!Allocation_factors</vt:lpstr>
      <vt:lpstr>'2911'!Allocation_factors</vt:lpstr>
      <vt:lpstr>'2941'!Allocation_factors</vt:lpstr>
      <vt:lpstr>'3083'!Allocation_factors</vt:lpstr>
      <vt:lpstr>'3345'!Allocation_factors</vt:lpstr>
      <vt:lpstr>'3381'!Allocation_factors</vt:lpstr>
      <vt:lpstr>'3382'!Allocation_factors</vt:lpstr>
      <vt:lpstr>'3391'!Allocation_factors</vt:lpstr>
      <vt:lpstr>'3394'!Allocation_factors</vt:lpstr>
      <vt:lpstr>'3395'!Allocation_factors</vt:lpstr>
      <vt:lpstr>'3396'!Allocation_factors</vt:lpstr>
      <vt:lpstr>'3398'!Allocation_factors</vt:lpstr>
      <vt:lpstr>'3400'!Allocation_factors</vt:lpstr>
      <vt:lpstr>'3401'!Allocation_factors</vt:lpstr>
      <vt:lpstr>'3413'!Allocation_factors</vt:lpstr>
      <vt:lpstr>'3421'!Allocation_factors</vt:lpstr>
      <vt:lpstr>'3431'!Allocation_factors</vt:lpstr>
      <vt:lpstr>'3441'!Allocation_factors</vt:lpstr>
      <vt:lpstr>'3924'!Allocation_factors</vt:lpstr>
      <vt:lpstr>'3941'!Allocation_factors</vt:lpstr>
      <vt:lpstr>'3961'!Allocation_factors</vt:lpstr>
      <vt:lpstr>'3971'!Allocation_factors</vt:lpstr>
      <vt:lpstr>'4001'!Allocation_factors</vt:lpstr>
      <vt:lpstr>'4002'!Allocation_factors</vt:lpstr>
      <vt:lpstr>'4012'!Allocation_factors</vt:lpstr>
      <vt:lpstr>'4013'!Allocation_factors</vt:lpstr>
      <vt:lpstr>'4020'!Allocation_factors</vt:lpstr>
      <vt:lpstr>'4030'!Allocation_factors</vt:lpstr>
      <vt:lpstr>'4031'!Allocation_factors</vt:lpstr>
      <vt:lpstr>'4041'!Allocation_factors</vt:lpstr>
      <vt:lpstr>'4050'!Allocation_factors</vt:lpstr>
      <vt:lpstr>'4051'!Allocation_factors</vt:lpstr>
      <vt:lpstr>'4061'!Allocation_factors</vt:lpstr>
      <vt:lpstr>'4080'!Allocation_factors</vt:lpstr>
      <vt:lpstr>'4081'!Allocation_factors</vt:lpstr>
      <vt:lpstr>'4090'!Allocation_factors</vt:lpstr>
      <vt:lpstr>'4091'!Allocation_factors</vt:lpstr>
      <vt:lpstr>'4100'!Allocation_factors</vt:lpstr>
      <vt:lpstr>'4102'!Allocation_factors</vt:lpstr>
      <vt:lpstr>'4103'!Allocation_factors</vt:lpstr>
      <vt:lpstr>'4111'!Allocation_factors</vt:lpstr>
      <vt:lpstr>'4131'!Allocation_factors</vt:lpstr>
      <vt:lpstr>Allocation_factors</vt:lpstr>
      <vt:lpstr>'0100'!Base_Student_Allocation</vt:lpstr>
      <vt:lpstr>'1461'!Base_Student_Allocation</vt:lpstr>
      <vt:lpstr>'1571'!Base_Student_Allocation</vt:lpstr>
      <vt:lpstr>'2521'!Base_Student_Allocation</vt:lpstr>
      <vt:lpstr>'2531'!Base_Student_Allocation</vt:lpstr>
      <vt:lpstr>'2791'!Base_Student_Allocation</vt:lpstr>
      <vt:lpstr>'2801'!Base_Student_Allocation</vt:lpstr>
      <vt:lpstr>'2911'!Base_Student_Allocation</vt:lpstr>
      <vt:lpstr>'2941'!Base_Student_Allocation</vt:lpstr>
      <vt:lpstr>'3083'!Base_Student_Allocation</vt:lpstr>
      <vt:lpstr>'3345'!Base_Student_Allocation</vt:lpstr>
      <vt:lpstr>'3381'!Base_Student_Allocation</vt:lpstr>
      <vt:lpstr>'3382'!Base_Student_Allocation</vt:lpstr>
      <vt:lpstr>'3391'!Base_Student_Allocation</vt:lpstr>
      <vt:lpstr>'3394'!Base_Student_Allocation</vt:lpstr>
      <vt:lpstr>'3395'!Base_Student_Allocation</vt:lpstr>
      <vt:lpstr>'3396'!Base_Student_Allocation</vt:lpstr>
      <vt:lpstr>'3398'!Base_Student_Allocation</vt:lpstr>
      <vt:lpstr>'3400'!Base_Student_Allocation</vt:lpstr>
      <vt:lpstr>'3401'!Base_Student_Allocation</vt:lpstr>
      <vt:lpstr>'3413'!Base_Student_Allocation</vt:lpstr>
      <vt:lpstr>'3421'!Base_Student_Allocation</vt:lpstr>
      <vt:lpstr>'3431'!Base_Student_Allocation</vt:lpstr>
      <vt:lpstr>'3441'!Base_Student_Allocation</vt:lpstr>
      <vt:lpstr>'3924'!Base_Student_Allocation</vt:lpstr>
      <vt:lpstr>'3941'!Base_Student_Allocation</vt:lpstr>
      <vt:lpstr>'3961'!Base_Student_Allocation</vt:lpstr>
      <vt:lpstr>'3971'!Base_Student_Allocation</vt:lpstr>
      <vt:lpstr>'4001'!Base_Student_Allocation</vt:lpstr>
      <vt:lpstr>'4002'!Base_Student_Allocation</vt:lpstr>
      <vt:lpstr>'4012'!Base_Student_Allocation</vt:lpstr>
      <vt:lpstr>'4013'!Base_Student_Allocation</vt:lpstr>
      <vt:lpstr>'4020'!Base_Student_Allocation</vt:lpstr>
      <vt:lpstr>'4030'!Base_Student_Allocation</vt:lpstr>
      <vt:lpstr>'4031'!Base_Student_Allocation</vt:lpstr>
      <vt:lpstr>'4041'!Base_Student_Allocation</vt:lpstr>
      <vt:lpstr>'4050'!Base_Student_Allocation</vt:lpstr>
      <vt:lpstr>'4051'!Base_Student_Allocation</vt:lpstr>
      <vt:lpstr>'4061'!Base_Student_Allocation</vt:lpstr>
      <vt:lpstr>'4080'!Base_Student_Allocation</vt:lpstr>
      <vt:lpstr>'4081'!Base_Student_Allocation</vt:lpstr>
      <vt:lpstr>'4090'!Base_Student_Allocation</vt:lpstr>
      <vt:lpstr>'4091'!Base_Student_Allocation</vt:lpstr>
      <vt:lpstr>'4100'!Base_Student_Allocation</vt:lpstr>
      <vt:lpstr>'4102'!Base_Student_Allocation</vt:lpstr>
      <vt:lpstr>'4103'!Base_Student_Allocation</vt:lpstr>
      <vt:lpstr>'4111'!Base_Student_Allocation</vt:lpstr>
      <vt:lpstr>'4131'!Base_Student_Allocation</vt:lpstr>
      <vt:lpstr>Base_Student_Allocation</vt:lpstr>
      <vt:lpstr>'0100'!Based_on_the_Second_Calculation_of_the_FEFP_2010_11</vt:lpstr>
      <vt:lpstr>'1461'!Based_on_the_Second_Calculation_of_the_FEFP_2010_11</vt:lpstr>
      <vt:lpstr>'1571'!Based_on_the_Second_Calculation_of_the_FEFP_2010_11</vt:lpstr>
      <vt:lpstr>'2521'!Based_on_the_Second_Calculation_of_the_FEFP_2010_11</vt:lpstr>
      <vt:lpstr>'2531'!Based_on_the_Second_Calculation_of_the_FEFP_2010_11</vt:lpstr>
      <vt:lpstr>'2791'!Based_on_the_Second_Calculation_of_the_FEFP_2010_11</vt:lpstr>
      <vt:lpstr>'2801'!Based_on_the_Second_Calculation_of_the_FEFP_2010_11</vt:lpstr>
      <vt:lpstr>'2911'!Based_on_the_Second_Calculation_of_the_FEFP_2010_11</vt:lpstr>
      <vt:lpstr>'2941'!Based_on_the_Second_Calculation_of_the_FEFP_2010_11</vt:lpstr>
      <vt:lpstr>'3083'!Based_on_the_Second_Calculation_of_the_FEFP_2010_11</vt:lpstr>
      <vt:lpstr>'3345'!Based_on_the_Second_Calculation_of_the_FEFP_2010_11</vt:lpstr>
      <vt:lpstr>'3381'!Based_on_the_Second_Calculation_of_the_FEFP_2010_11</vt:lpstr>
      <vt:lpstr>'3382'!Based_on_the_Second_Calculation_of_the_FEFP_2010_11</vt:lpstr>
      <vt:lpstr>'3391'!Based_on_the_Second_Calculation_of_the_FEFP_2010_11</vt:lpstr>
      <vt:lpstr>'3394'!Based_on_the_Second_Calculation_of_the_FEFP_2010_11</vt:lpstr>
      <vt:lpstr>'3395'!Based_on_the_Second_Calculation_of_the_FEFP_2010_11</vt:lpstr>
      <vt:lpstr>'3396'!Based_on_the_Second_Calculation_of_the_FEFP_2010_11</vt:lpstr>
      <vt:lpstr>'3398'!Based_on_the_Second_Calculation_of_the_FEFP_2010_11</vt:lpstr>
      <vt:lpstr>'3400'!Based_on_the_Second_Calculation_of_the_FEFP_2010_11</vt:lpstr>
      <vt:lpstr>'3401'!Based_on_the_Second_Calculation_of_the_FEFP_2010_11</vt:lpstr>
      <vt:lpstr>'3413'!Based_on_the_Second_Calculation_of_the_FEFP_2010_11</vt:lpstr>
      <vt:lpstr>'3421'!Based_on_the_Second_Calculation_of_the_FEFP_2010_11</vt:lpstr>
      <vt:lpstr>'3431'!Based_on_the_Second_Calculation_of_the_FEFP_2010_11</vt:lpstr>
      <vt:lpstr>'3441'!Based_on_the_Second_Calculation_of_the_FEFP_2010_11</vt:lpstr>
      <vt:lpstr>'3924'!Based_on_the_Second_Calculation_of_the_FEFP_2010_11</vt:lpstr>
      <vt:lpstr>'3941'!Based_on_the_Second_Calculation_of_the_FEFP_2010_11</vt:lpstr>
      <vt:lpstr>'3961'!Based_on_the_Second_Calculation_of_the_FEFP_2010_11</vt:lpstr>
      <vt:lpstr>'3971'!Based_on_the_Second_Calculation_of_the_FEFP_2010_11</vt:lpstr>
      <vt:lpstr>'4001'!Based_on_the_Second_Calculation_of_the_FEFP_2010_11</vt:lpstr>
      <vt:lpstr>'4002'!Based_on_the_Second_Calculation_of_the_FEFP_2010_11</vt:lpstr>
      <vt:lpstr>'4012'!Based_on_the_Second_Calculation_of_the_FEFP_2010_11</vt:lpstr>
      <vt:lpstr>'4013'!Based_on_the_Second_Calculation_of_the_FEFP_2010_11</vt:lpstr>
      <vt:lpstr>'4020'!Based_on_the_Second_Calculation_of_the_FEFP_2010_11</vt:lpstr>
      <vt:lpstr>'4030'!Based_on_the_Second_Calculation_of_the_FEFP_2010_11</vt:lpstr>
      <vt:lpstr>'4031'!Based_on_the_Second_Calculation_of_the_FEFP_2010_11</vt:lpstr>
      <vt:lpstr>'4041'!Based_on_the_Second_Calculation_of_the_FEFP_2010_11</vt:lpstr>
      <vt:lpstr>'4050'!Based_on_the_Second_Calculation_of_the_FEFP_2010_11</vt:lpstr>
      <vt:lpstr>'4051'!Based_on_the_Second_Calculation_of_the_FEFP_2010_11</vt:lpstr>
      <vt:lpstr>'4061'!Based_on_the_Second_Calculation_of_the_FEFP_2010_11</vt:lpstr>
      <vt:lpstr>'4080'!Based_on_the_Second_Calculation_of_the_FEFP_2010_11</vt:lpstr>
      <vt:lpstr>'4081'!Based_on_the_Second_Calculation_of_the_FEFP_2010_11</vt:lpstr>
      <vt:lpstr>'4090'!Based_on_the_Second_Calculation_of_the_FEFP_2010_11</vt:lpstr>
      <vt:lpstr>'4091'!Based_on_the_Second_Calculation_of_the_FEFP_2010_11</vt:lpstr>
      <vt:lpstr>'4100'!Based_on_the_Second_Calculation_of_the_FEFP_2010_11</vt:lpstr>
      <vt:lpstr>'4102'!Based_on_the_Second_Calculation_of_the_FEFP_2010_11</vt:lpstr>
      <vt:lpstr>'4103'!Based_on_the_Second_Calculation_of_the_FEFP_2010_11</vt:lpstr>
      <vt:lpstr>'4111'!Based_on_the_Second_Calculation_of_the_FEFP_2010_11</vt:lpstr>
      <vt:lpstr>'4131'!Based_on_the_Second_Calculation_of_the_FEFP_2010_11</vt:lpstr>
      <vt:lpstr>Based_on_the_Second_Calculation_of_the_FEFP_2010_11</vt:lpstr>
      <vt:lpstr>'0100'!DCD</vt:lpstr>
      <vt:lpstr>'1461'!DCD</vt:lpstr>
      <vt:lpstr>'1571'!DCD</vt:lpstr>
      <vt:lpstr>'2521'!DCD</vt:lpstr>
      <vt:lpstr>'2531'!DCD</vt:lpstr>
      <vt:lpstr>'2791'!DCD</vt:lpstr>
      <vt:lpstr>'2801'!DCD</vt:lpstr>
      <vt:lpstr>'2911'!DCD</vt:lpstr>
      <vt:lpstr>'2941'!DCD</vt:lpstr>
      <vt:lpstr>'3083'!DCD</vt:lpstr>
      <vt:lpstr>'3345'!DCD</vt:lpstr>
      <vt:lpstr>'3381'!DCD</vt:lpstr>
      <vt:lpstr>'3382'!DCD</vt:lpstr>
      <vt:lpstr>'3391'!DCD</vt:lpstr>
      <vt:lpstr>'3394'!DCD</vt:lpstr>
      <vt:lpstr>'3395'!DCD</vt:lpstr>
      <vt:lpstr>'3396'!DCD</vt:lpstr>
      <vt:lpstr>'3398'!DCD</vt:lpstr>
      <vt:lpstr>'3400'!DCD</vt:lpstr>
      <vt:lpstr>'3401'!DCD</vt:lpstr>
      <vt:lpstr>'3413'!DCD</vt:lpstr>
      <vt:lpstr>'3421'!DCD</vt:lpstr>
      <vt:lpstr>'3431'!DCD</vt:lpstr>
      <vt:lpstr>'3441'!DCD</vt:lpstr>
      <vt:lpstr>'3924'!DCD</vt:lpstr>
      <vt:lpstr>'3941'!DCD</vt:lpstr>
      <vt:lpstr>'3961'!DCD</vt:lpstr>
      <vt:lpstr>'3971'!DCD</vt:lpstr>
      <vt:lpstr>'4001'!DCD</vt:lpstr>
      <vt:lpstr>'4002'!DCD</vt:lpstr>
      <vt:lpstr>'4012'!DCD</vt:lpstr>
      <vt:lpstr>'4013'!DCD</vt:lpstr>
      <vt:lpstr>'4020'!DCD</vt:lpstr>
      <vt:lpstr>'4030'!DCD</vt:lpstr>
      <vt:lpstr>'4031'!DCD</vt:lpstr>
      <vt:lpstr>'4041'!DCD</vt:lpstr>
      <vt:lpstr>'4050'!DCD</vt:lpstr>
      <vt:lpstr>'4051'!DCD</vt:lpstr>
      <vt:lpstr>'4061'!DCD</vt:lpstr>
      <vt:lpstr>'4080'!DCD</vt:lpstr>
      <vt:lpstr>'4081'!DCD</vt:lpstr>
      <vt:lpstr>'4090'!DCD</vt:lpstr>
      <vt:lpstr>'4091'!DCD</vt:lpstr>
      <vt:lpstr>'4100'!DCD</vt:lpstr>
      <vt:lpstr>'4102'!DCD</vt:lpstr>
      <vt:lpstr>'4103'!DCD</vt:lpstr>
      <vt:lpstr>'4111'!DCD</vt:lpstr>
      <vt:lpstr>'4131'!DCD</vt:lpstr>
      <vt:lpstr>DCD</vt:lpstr>
      <vt:lpstr>'0100'!District_Cost_Differential</vt:lpstr>
      <vt:lpstr>'1461'!District_Cost_Differential</vt:lpstr>
      <vt:lpstr>'1571'!District_Cost_Differential</vt:lpstr>
      <vt:lpstr>'2521'!District_Cost_Differential</vt:lpstr>
      <vt:lpstr>'2531'!District_Cost_Differential</vt:lpstr>
      <vt:lpstr>'2791'!District_Cost_Differential</vt:lpstr>
      <vt:lpstr>'2801'!District_Cost_Differential</vt:lpstr>
      <vt:lpstr>'2911'!District_Cost_Differential</vt:lpstr>
      <vt:lpstr>'2941'!District_Cost_Differential</vt:lpstr>
      <vt:lpstr>'3083'!District_Cost_Differential</vt:lpstr>
      <vt:lpstr>'3345'!District_Cost_Differential</vt:lpstr>
      <vt:lpstr>'3381'!District_Cost_Differential</vt:lpstr>
      <vt:lpstr>'3382'!District_Cost_Differential</vt:lpstr>
      <vt:lpstr>'3391'!District_Cost_Differential</vt:lpstr>
      <vt:lpstr>'3394'!District_Cost_Differential</vt:lpstr>
      <vt:lpstr>'3395'!District_Cost_Differential</vt:lpstr>
      <vt:lpstr>'3396'!District_Cost_Differential</vt:lpstr>
      <vt:lpstr>'3398'!District_Cost_Differential</vt:lpstr>
      <vt:lpstr>'3400'!District_Cost_Differential</vt:lpstr>
      <vt:lpstr>'3401'!District_Cost_Differential</vt:lpstr>
      <vt:lpstr>'3413'!District_Cost_Differential</vt:lpstr>
      <vt:lpstr>'3421'!District_Cost_Differential</vt:lpstr>
      <vt:lpstr>'3431'!District_Cost_Differential</vt:lpstr>
      <vt:lpstr>'3441'!District_Cost_Differential</vt:lpstr>
      <vt:lpstr>'3924'!District_Cost_Differential</vt:lpstr>
      <vt:lpstr>'3941'!District_Cost_Differential</vt:lpstr>
      <vt:lpstr>'3961'!District_Cost_Differential</vt:lpstr>
      <vt:lpstr>'3971'!District_Cost_Differential</vt:lpstr>
      <vt:lpstr>'4001'!District_Cost_Differential</vt:lpstr>
      <vt:lpstr>'4002'!District_Cost_Differential</vt:lpstr>
      <vt:lpstr>'4012'!District_Cost_Differential</vt:lpstr>
      <vt:lpstr>'4013'!District_Cost_Differential</vt:lpstr>
      <vt:lpstr>'4020'!District_Cost_Differential</vt:lpstr>
      <vt:lpstr>'4030'!District_Cost_Differential</vt:lpstr>
      <vt:lpstr>'4031'!District_Cost_Differential</vt:lpstr>
      <vt:lpstr>'4041'!District_Cost_Differential</vt:lpstr>
      <vt:lpstr>'4050'!District_Cost_Differential</vt:lpstr>
      <vt:lpstr>'4051'!District_Cost_Differential</vt:lpstr>
      <vt:lpstr>'4061'!District_Cost_Differential</vt:lpstr>
      <vt:lpstr>'4080'!District_Cost_Differential</vt:lpstr>
      <vt:lpstr>'4081'!District_Cost_Differential</vt:lpstr>
      <vt:lpstr>'4090'!District_Cost_Differential</vt:lpstr>
      <vt:lpstr>'4091'!District_Cost_Differential</vt:lpstr>
      <vt:lpstr>'4100'!District_Cost_Differential</vt:lpstr>
      <vt:lpstr>'4102'!District_Cost_Differential</vt:lpstr>
      <vt:lpstr>'4103'!District_Cost_Differential</vt:lpstr>
      <vt:lpstr>'4111'!District_Cost_Differential</vt:lpstr>
      <vt:lpstr>'4131'!District_Cost_Differential</vt:lpstr>
      <vt:lpstr>District_Cost_Differential</vt:lpstr>
      <vt:lpstr>'0100'!Number_of_FTE</vt:lpstr>
      <vt:lpstr>'1461'!Number_of_FTE</vt:lpstr>
      <vt:lpstr>'1571'!Number_of_FTE</vt:lpstr>
      <vt:lpstr>'2521'!Number_of_FTE</vt:lpstr>
      <vt:lpstr>'2531'!Number_of_FTE</vt:lpstr>
      <vt:lpstr>'2791'!Number_of_FTE</vt:lpstr>
      <vt:lpstr>'2801'!Number_of_FTE</vt:lpstr>
      <vt:lpstr>'2911'!Number_of_FTE</vt:lpstr>
      <vt:lpstr>'2941'!Number_of_FTE</vt:lpstr>
      <vt:lpstr>'3083'!Number_of_FTE</vt:lpstr>
      <vt:lpstr>'3345'!Number_of_FTE</vt:lpstr>
      <vt:lpstr>'3381'!Number_of_FTE</vt:lpstr>
      <vt:lpstr>'3382'!Number_of_FTE</vt:lpstr>
      <vt:lpstr>'3391'!Number_of_FTE</vt:lpstr>
      <vt:lpstr>'3394'!Number_of_FTE</vt:lpstr>
      <vt:lpstr>'3395'!Number_of_FTE</vt:lpstr>
      <vt:lpstr>'3396'!Number_of_FTE</vt:lpstr>
      <vt:lpstr>'3398'!Number_of_FTE</vt:lpstr>
      <vt:lpstr>'3400'!Number_of_FTE</vt:lpstr>
      <vt:lpstr>'3401'!Number_of_FTE</vt:lpstr>
      <vt:lpstr>'3413'!Number_of_FTE</vt:lpstr>
      <vt:lpstr>'3421'!Number_of_FTE</vt:lpstr>
      <vt:lpstr>'3431'!Number_of_FTE</vt:lpstr>
      <vt:lpstr>'3441'!Number_of_FTE</vt:lpstr>
      <vt:lpstr>'3924'!Number_of_FTE</vt:lpstr>
      <vt:lpstr>'3941'!Number_of_FTE</vt:lpstr>
      <vt:lpstr>'3961'!Number_of_FTE</vt:lpstr>
      <vt:lpstr>'3971'!Number_of_FTE</vt:lpstr>
      <vt:lpstr>'4001'!Number_of_FTE</vt:lpstr>
      <vt:lpstr>'4002'!Number_of_FTE</vt:lpstr>
      <vt:lpstr>'4012'!Number_of_FTE</vt:lpstr>
      <vt:lpstr>'4013'!Number_of_FTE</vt:lpstr>
      <vt:lpstr>'4020'!Number_of_FTE</vt:lpstr>
      <vt:lpstr>'4030'!Number_of_FTE</vt:lpstr>
      <vt:lpstr>'4031'!Number_of_FTE</vt:lpstr>
      <vt:lpstr>'4041'!Number_of_FTE</vt:lpstr>
      <vt:lpstr>'4050'!Number_of_FTE</vt:lpstr>
      <vt:lpstr>'4051'!Number_of_FTE</vt:lpstr>
      <vt:lpstr>'4061'!Number_of_FTE</vt:lpstr>
      <vt:lpstr>'4080'!Number_of_FTE</vt:lpstr>
      <vt:lpstr>'4081'!Number_of_FTE</vt:lpstr>
      <vt:lpstr>'4090'!Number_of_FTE</vt:lpstr>
      <vt:lpstr>'4091'!Number_of_FTE</vt:lpstr>
      <vt:lpstr>'4100'!Number_of_FTE</vt:lpstr>
      <vt:lpstr>'4102'!Number_of_FTE</vt:lpstr>
      <vt:lpstr>'4103'!Number_of_FTE</vt:lpstr>
      <vt:lpstr>'4111'!Number_of_FTE</vt:lpstr>
      <vt:lpstr>'4131'!Number_of_FTE</vt:lpstr>
      <vt:lpstr>Number_of_FTE</vt:lpstr>
      <vt:lpstr>'0100'!PK___3</vt:lpstr>
      <vt:lpstr>'1461'!PK___3</vt:lpstr>
      <vt:lpstr>'1571'!PK___3</vt:lpstr>
      <vt:lpstr>'2521'!PK___3</vt:lpstr>
      <vt:lpstr>'2531'!PK___3</vt:lpstr>
      <vt:lpstr>'2791'!PK___3</vt:lpstr>
      <vt:lpstr>'2801'!PK___3</vt:lpstr>
      <vt:lpstr>'2911'!PK___3</vt:lpstr>
      <vt:lpstr>'2941'!PK___3</vt:lpstr>
      <vt:lpstr>'3083'!PK___3</vt:lpstr>
      <vt:lpstr>'3345'!PK___3</vt:lpstr>
      <vt:lpstr>'3381'!PK___3</vt:lpstr>
      <vt:lpstr>'3382'!PK___3</vt:lpstr>
      <vt:lpstr>'3391'!PK___3</vt:lpstr>
      <vt:lpstr>'3394'!PK___3</vt:lpstr>
      <vt:lpstr>'3395'!PK___3</vt:lpstr>
      <vt:lpstr>'3396'!PK___3</vt:lpstr>
      <vt:lpstr>'3398'!PK___3</vt:lpstr>
      <vt:lpstr>'3400'!PK___3</vt:lpstr>
      <vt:lpstr>'3401'!PK___3</vt:lpstr>
      <vt:lpstr>'3413'!PK___3</vt:lpstr>
      <vt:lpstr>'3421'!PK___3</vt:lpstr>
      <vt:lpstr>'3431'!PK___3</vt:lpstr>
      <vt:lpstr>'3441'!PK___3</vt:lpstr>
      <vt:lpstr>'3924'!PK___3</vt:lpstr>
      <vt:lpstr>'3941'!PK___3</vt:lpstr>
      <vt:lpstr>'3961'!PK___3</vt:lpstr>
      <vt:lpstr>'3971'!PK___3</vt:lpstr>
      <vt:lpstr>'4001'!PK___3</vt:lpstr>
      <vt:lpstr>'4002'!PK___3</vt:lpstr>
      <vt:lpstr>'4012'!PK___3</vt:lpstr>
      <vt:lpstr>'4013'!PK___3</vt:lpstr>
      <vt:lpstr>'4020'!PK___3</vt:lpstr>
      <vt:lpstr>'4030'!PK___3</vt:lpstr>
      <vt:lpstr>'4031'!PK___3</vt:lpstr>
      <vt:lpstr>'4041'!PK___3</vt:lpstr>
      <vt:lpstr>'4050'!PK___3</vt:lpstr>
      <vt:lpstr>'4051'!PK___3</vt:lpstr>
      <vt:lpstr>'4061'!PK___3</vt:lpstr>
      <vt:lpstr>'4080'!PK___3</vt:lpstr>
      <vt:lpstr>'4081'!PK___3</vt:lpstr>
      <vt:lpstr>'4090'!PK___3</vt:lpstr>
      <vt:lpstr>'4091'!PK___3</vt:lpstr>
      <vt:lpstr>'4100'!PK___3</vt:lpstr>
      <vt:lpstr>'4102'!PK___3</vt:lpstr>
      <vt:lpstr>'4103'!PK___3</vt:lpstr>
      <vt:lpstr>'4111'!PK___3</vt:lpstr>
      <vt:lpstr>'4131'!PK___3</vt:lpstr>
      <vt:lpstr>PK___3</vt:lpstr>
      <vt:lpstr>'0040'!Print_Area</vt:lpstr>
      <vt:lpstr>'0100'!Print_Area</vt:lpstr>
      <vt:lpstr>'1461'!Print_Area</vt:lpstr>
      <vt:lpstr>'1571'!Print_Area</vt:lpstr>
      <vt:lpstr>'2521'!Print_Area</vt:lpstr>
      <vt:lpstr>'2531'!Print_Area</vt:lpstr>
      <vt:lpstr>'2791'!Print_Area</vt:lpstr>
      <vt:lpstr>'2801'!Print_Area</vt:lpstr>
      <vt:lpstr>'2911'!Print_Area</vt:lpstr>
      <vt:lpstr>'2941'!Print_Area</vt:lpstr>
      <vt:lpstr>'3083'!Print_Area</vt:lpstr>
      <vt:lpstr>'3345'!Print_Area</vt:lpstr>
      <vt:lpstr>'3381'!Print_Area</vt:lpstr>
      <vt:lpstr>'3382'!Print_Area</vt:lpstr>
      <vt:lpstr>'3391'!Print_Area</vt:lpstr>
      <vt:lpstr>'3394'!Print_Area</vt:lpstr>
      <vt:lpstr>'3395'!Print_Area</vt:lpstr>
      <vt:lpstr>'3396'!Print_Area</vt:lpstr>
      <vt:lpstr>'3398'!Print_Area</vt:lpstr>
      <vt:lpstr>'3400'!Print_Area</vt:lpstr>
      <vt:lpstr>'3401'!Print_Area</vt:lpstr>
      <vt:lpstr>'3413'!Print_Area</vt:lpstr>
      <vt:lpstr>'3421'!Print_Area</vt:lpstr>
      <vt:lpstr>'3431'!Print_Area</vt:lpstr>
      <vt:lpstr>'3441'!Print_Area</vt:lpstr>
      <vt:lpstr>'3924'!Print_Area</vt:lpstr>
      <vt:lpstr>'3941'!Print_Area</vt:lpstr>
      <vt:lpstr>'3961'!Print_Area</vt:lpstr>
      <vt:lpstr>'3971'!Print_Area</vt:lpstr>
      <vt:lpstr>'4001'!Print_Area</vt:lpstr>
      <vt:lpstr>'4002'!Print_Area</vt:lpstr>
      <vt:lpstr>'4012'!Print_Area</vt:lpstr>
      <vt:lpstr>'4013'!Print_Area</vt:lpstr>
      <vt:lpstr>'4020'!Print_Area</vt:lpstr>
      <vt:lpstr>'4030'!Print_Area</vt:lpstr>
      <vt:lpstr>'4031'!Print_Area</vt:lpstr>
      <vt:lpstr>'4041'!Print_Area</vt:lpstr>
      <vt:lpstr>'4050'!Print_Area</vt:lpstr>
      <vt:lpstr>'4051'!Print_Area</vt:lpstr>
      <vt:lpstr>'4061'!Print_Area</vt:lpstr>
      <vt:lpstr>'4080'!Print_Area</vt:lpstr>
      <vt:lpstr>'4081'!Print_Area</vt:lpstr>
      <vt:lpstr>'4090'!Print_Area</vt:lpstr>
      <vt:lpstr>'4091'!Print_Area</vt:lpstr>
      <vt:lpstr>'4100'!Print_Area</vt:lpstr>
      <vt:lpstr>'4102'!Print_Area</vt:lpstr>
      <vt:lpstr>'4103'!Print_Area</vt:lpstr>
      <vt:lpstr>'4111'!Print_Area</vt:lpstr>
      <vt:lpstr>'4131'!Print_Area</vt:lpstr>
      <vt:lpstr>Consolidated!Print_Area</vt:lpstr>
      <vt:lpstr>'Net Payment'!Print_Area</vt:lpstr>
      <vt:lpstr>'Net Payment'!Print_Titles</vt:lpstr>
      <vt:lpstr>'0100'!Program</vt:lpstr>
      <vt:lpstr>'1461'!Program</vt:lpstr>
      <vt:lpstr>'1571'!Program</vt:lpstr>
      <vt:lpstr>'2521'!Program</vt:lpstr>
      <vt:lpstr>'2531'!Program</vt:lpstr>
      <vt:lpstr>'2791'!Program</vt:lpstr>
      <vt:lpstr>'2801'!Program</vt:lpstr>
      <vt:lpstr>'2911'!Program</vt:lpstr>
      <vt:lpstr>'2941'!Program</vt:lpstr>
      <vt:lpstr>'3083'!Program</vt:lpstr>
      <vt:lpstr>'3345'!Program</vt:lpstr>
      <vt:lpstr>'3381'!Program</vt:lpstr>
      <vt:lpstr>'3382'!Program</vt:lpstr>
      <vt:lpstr>'3391'!Program</vt:lpstr>
      <vt:lpstr>'3394'!Program</vt:lpstr>
      <vt:lpstr>'3395'!Program</vt:lpstr>
      <vt:lpstr>'3396'!Program</vt:lpstr>
      <vt:lpstr>'3398'!Program</vt:lpstr>
      <vt:lpstr>'3400'!Program</vt:lpstr>
      <vt:lpstr>'3401'!Program</vt:lpstr>
      <vt:lpstr>'3413'!Program</vt:lpstr>
      <vt:lpstr>'3421'!Program</vt:lpstr>
      <vt:lpstr>'3431'!Program</vt:lpstr>
      <vt:lpstr>'3441'!Program</vt:lpstr>
      <vt:lpstr>'3924'!Program</vt:lpstr>
      <vt:lpstr>'3941'!Program</vt:lpstr>
      <vt:lpstr>'3961'!Program</vt:lpstr>
      <vt:lpstr>'3971'!Program</vt:lpstr>
      <vt:lpstr>'4001'!Program</vt:lpstr>
      <vt:lpstr>'4002'!Program</vt:lpstr>
      <vt:lpstr>'4012'!Program</vt:lpstr>
      <vt:lpstr>'4013'!Program</vt:lpstr>
      <vt:lpstr>'4020'!Program</vt:lpstr>
      <vt:lpstr>'4030'!Program</vt:lpstr>
      <vt:lpstr>'4031'!Program</vt:lpstr>
      <vt:lpstr>'4041'!Program</vt:lpstr>
      <vt:lpstr>'4050'!Program</vt:lpstr>
      <vt:lpstr>'4051'!Program</vt:lpstr>
      <vt:lpstr>'4061'!Program</vt:lpstr>
      <vt:lpstr>'4080'!Program</vt:lpstr>
      <vt:lpstr>'4081'!Program</vt:lpstr>
      <vt:lpstr>'4090'!Program</vt:lpstr>
      <vt:lpstr>'4091'!Program</vt:lpstr>
      <vt:lpstr>'4100'!Program</vt:lpstr>
      <vt:lpstr>'4102'!Program</vt:lpstr>
      <vt:lpstr>'4103'!Program</vt:lpstr>
      <vt:lpstr>'4111'!Program</vt:lpstr>
      <vt:lpstr>'4131'!Program</vt:lpstr>
      <vt:lpstr>Program</vt:lpstr>
      <vt:lpstr>'0100'!Program______________________________Cost_Factor</vt:lpstr>
      <vt:lpstr>'1461'!Program______________________________Cost_Factor</vt:lpstr>
      <vt:lpstr>'1571'!Program______________________________Cost_Factor</vt:lpstr>
      <vt:lpstr>'2521'!Program______________________________Cost_Factor</vt:lpstr>
      <vt:lpstr>'2531'!Program______________________________Cost_Factor</vt:lpstr>
      <vt:lpstr>'2791'!Program______________________________Cost_Factor</vt:lpstr>
      <vt:lpstr>'2801'!Program______________________________Cost_Factor</vt:lpstr>
      <vt:lpstr>'2911'!Program______________________________Cost_Factor</vt:lpstr>
      <vt:lpstr>'2941'!Program______________________________Cost_Factor</vt:lpstr>
      <vt:lpstr>'3083'!Program______________________________Cost_Factor</vt:lpstr>
      <vt:lpstr>'3345'!Program______________________________Cost_Factor</vt:lpstr>
      <vt:lpstr>'3381'!Program______________________________Cost_Factor</vt:lpstr>
      <vt:lpstr>'3382'!Program______________________________Cost_Factor</vt:lpstr>
      <vt:lpstr>'3391'!Program______________________________Cost_Factor</vt:lpstr>
      <vt:lpstr>'3394'!Program______________________________Cost_Factor</vt:lpstr>
      <vt:lpstr>'3395'!Program______________________________Cost_Factor</vt:lpstr>
      <vt:lpstr>'3396'!Program______________________________Cost_Factor</vt:lpstr>
      <vt:lpstr>'3398'!Program______________________________Cost_Factor</vt:lpstr>
      <vt:lpstr>'3400'!Program______________________________Cost_Factor</vt:lpstr>
      <vt:lpstr>'3401'!Program______________________________Cost_Factor</vt:lpstr>
      <vt:lpstr>'3413'!Program______________________________Cost_Factor</vt:lpstr>
      <vt:lpstr>'3421'!Program______________________________Cost_Factor</vt:lpstr>
      <vt:lpstr>'3431'!Program______________________________Cost_Factor</vt:lpstr>
      <vt:lpstr>'3441'!Program______________________________Cost_Factor</vt:lpstr>
      <vt:lpstr>'3924'!Program______________________________Cost_Factor</vt:lpstr>
      <vt:lpstr>'3941'!Program______________________________Cost_Factor</vt:lpstr>
      <vt:lpstr>'3961'!Program______________________________Cost_Factor</vt:lpstr>
      <vt:lpstr>'3971'!Program______________________________Cost_Factor</vt:lpstr>
      <vt:lpstr>'4001'!Program______________________________Cost_Factor</vt:lpstr>
      <vt:lpstr>'4002'!Program______________________________Cost_Factor</vt:lpstr>
      <vt:lpstr>'4012'!Program______________________________Cost_Factor</vt:lpstr>
      <vt:lpstr>'4013'!Program______________________________Cost_Factor</vt:lpstr>
      <vt:lpstr>'4020'!Program______________________________Cost_Factor</vt:lpstr>
      <vt:lpstr>'4030'!Program______________________________Cost_Factor</vt:lpstr>
      <vt:lpstr>'4031'!Program______________________________Cost_Factor</vt:lpstr>
      <vt:lpstr>'4041'!Program______________________________Cost_Factor</vt:lpstr>
      <vt:lpstr>'4050'!Program______________________________Cost_Factor</vt:lpstr>
      <vt:lpstr>'4051'!Program______________________________Cost_Factor</vt:lpstr>
      <vt:lpstr>'4061'!Program______________________________Cost_Factor</vt:lpstr>
      <vt:lpstr>'4080'!Program______________________________Cost_Factor</vt:lpstr>
      <vt:lpstr>'4081'!Program______________________________Cost_Factor</vt:lpstr>
      <vt:lpstr>'4090'!Program______________________________Cost_Factor</vt:lpstr>
      <vt:lpstr>'4091'!Program______________________________Cost_Factor</vt:lpstr>
      <vt:lpstr>'4100'!Program______________________________Cost_Factor</vt:lpstr>
      <vt:lpstr>'4102'!Program______________________________Cost_Factor</vt:lpstr>
      <vt:lpstr>'4103'!Program______________________________Cost_Factor</vt:lpstr>
      <vt:lpstr>'4111'!Program______________________________Cost_Factor</vt:lpstr>
      <vt:lpstr>'4131'!Program______________________________Cost_Factor</vt:lpstr>
      <vt:lpstr>Program______________________________Cost_Factor</vt:lpstr>
      <vt:lpstr>'0100'!Revenue_Estimate_Worksheet_for___________Charter_School</vt:lpstr>
      <vt:lpstr>'1461'!Revenue_Estimate_Worksheet_for___________Charter_School</vt:lpstr>
      <vt:lpstr>'1571'!Revenue_Estimate_Worksheet_for___________Charter_School</vt:lpstr>
      <vt:lpstr>'2521'!Revenue_Estimate_Worksheet_for___________Charter_School</vt:lpstr>
      <vt:lpstr>'2531'!Revenue_Estimate_Worksheet_for___________Charter_School</vt:lpstr>
      <vt:lpstr>'2791'!Revenue_Estimate_Worksheet_for___________Charter_School</vt:lpstr>
      <vt:lpstr>'2801'!Revenue_Estimate_Worksheet_for___________Charter_School</vt:lpstr>
      <vt:lpstr>'2911'!Revenue_Estimate_Worksheet_for___________Charter_School</vt:lpstr>
      <vt:lpstr>'2941'!Revenue_Estimate_Worksheet_for___________Charter_School</vt:lpstr>
      <vt:lpstr>'3083'!Revenue_Estimate_Worksheet_for___________Charter_School</vt:lpstr>
      <vt:lpstr>'3345'!Revenue_Estimate_Worksheet_for___________Charter_School</vt:lpstr>
      <vt:lpstr>'3381'!Revenue_Estimate_Worksheet_for___________Charter_School</vt:lpstr>
      <vt:lpstr>'3382'!Revenue_Estimate_Worksheet_for___________Charter_School</vt:lpstr>
      <vt:lpstr>'3391'!Revenue_Estimate_Worksheet_for___________Charter_School</vt:lpstr>
      <vt:lpstr>'3394'!Revenue_Estimate_Worksheet_for___________Charter_School</vt:lpstr>
      <vt:lpstr>'3395'!Revenue_Estimate_Worksheet_for___________Charter_School</vt:lpstr>
      <vt:lpstr>'3396'!Revenue_Estimate_Worksheet_for___________Charter_School</vt:lpstr>
      <vt:lpstr>'3398'!Revenue_Estimate_Worksheet_for___________Charter_School</vt:lpstr>
      <vt:lpstr>'3400'!Revenue_Estimate_Worksheet_for___________Charter_School</vt:lpstr>
      <vt:lpstr>'3401'!Revenue_Estimate_Worksheet_for___________Charter_School</vt:lpstr>
      <vt:lpstr>'3413'!Revenue_Estimate_Worksheet_for___________Charter_School</vt:lpstr>
      <vt:lpstr>'3421'!Revenue_Estimate_Worksheet_for___________Charter_School</vt:lpstr>
      <vt:lpstr>'3431'!Revenue_Estimate_Worksheet_for___________Charter_School</vt:lpstr>
      <vt:lpstr>'3441'!Revenue_Estimate_Worksheet_for___________Charter_School</vt:lpstr>
      <vt:lpstr>'3924'!Revenue_Estimate_Worksheet_for___________Charter_School</vt:lpstr>
      <vt:lpstr>'3941'!Revenue_Estimate_Worksheet_for___________Charter_School</vt:lpstr>
      <vt:lpstr>'3961'!Revenue_Estimate_Worksheet_for___________Charter_School</vt:lpstr>
      <vt:lpstr>'3971'!Revenue_Estimate_Worksheet_for___________Charter_School</vt:lpstr>
      <vt:lpstr>'4001'!Revenue_Estimate_Worksheet_for___________Charter_School</vt:lpstr>
      <vt:lpstr>'4002'!Revenue_Estimate_Worksheet_for___________Charter_School</vt:lpstr>
      <vt:lpstr>'4012'!Revenue_Estimate_Worksheet_for___________Charter_School</vt:lpstr>
      <vt:lpstr>'4013'!Revenue_Estimate_Worksheet_for___________Charter_School</vt:lpstr>
      <vt:lpstr>'4020'!Revenue_Estimate_Worksheet_for___________Charter_School</vt:lpstr>
      <vt:lpstr>'4030'!Revenue_Estimate_Worksheet_for___________Charter_School</vt:lpstr>
      <vt:lpstr>'4031'!Revenue_Estimate_Worksheet_for___________Charter_School</vt:lpstr>
      <vt:lpstr>'4041'!Revenue_Estimate_Worksheet_for___________Charter_School</vt:lpstr>
      <vt:lpstr>'4050'!Revenue_Estimate_Worksheet_for___________Charter_School</vt:lpstr>
      <vt:lpstr>'4051'!Revenue_Estimate_Worksheet_for___________Charter_School</vt:lpstr>
      <vt:lpstr>'4061'!Revenue_Estimate_Worksheet_for___________Charter_School</vt:lpstr>
      <vt:lpstr>'4080'!Revenue_Estimate_Worksheet_for___________Charter_School</vt:lpstr>
      <vt:lpstr>'4081'!Revenue_Estimate_Worksheet_for___________Charter_School</vt:lpstr>
      <vt:lpstr>'4090'!Revenue_Estimate_Worksheet_for___________Charter_School</vt:lpstr>
      <vt:lpstr>'4091'!Revenue_Estimate_Worksheet_for___________Charter_School</vt:lpstr>
      <vt:lpstr>'4100'!Revenue_Estimate_Worksheet_for___________Charter_School</vt:lpstr>
      <vt:lpstr>'4102'!Revenue_Estimate_Worksheet_for___________Charter_School</vt:lpstr>
      <vt:lpstr>'4103'!Revenue_Estimate_Worksheet_for___________Charter_School</vt:lpstr>
      <vt:lpstr>'4111'!Revenue_Estimate_Worksheet_for___________Charter_School</vt:lpstr>
      <vt:lpstr>'4131'!Revenue_Estimate_Worksheet_for___________Charter_School</vt:lpstr>
      <vt:lpstr>Revenue_Estimate_Worksheet_for___________Charter_School</vt:lpstr>
      <vt:lpstr>'0100'!School_District</vt:lpstr>
      <vt:lpstr>'1461'!School_District</vt:lpstr>
      <vt:lpstr>'1571'!School_District</vt:lpstr>
      <vt:lpstr>'2521'!School_District</vt:lpstr>
      <vt:lpstr>'2531'!School_District</vt:lpstr>
      <vt:lpstr>'2791'!School_District</vt:lpstr>
      <vt:lpstr>'2801'!School_District</vt:lpstr>
      <vt:lpstr>'2911'!School_District</vt:lpstr>
      <vt:lpstr>'2941'!School_District</vt:lpstr>
      <vt:lpstr>'3083'!School_District</vt:lpstr>
      <vt:lpstr>'3345'!School_District</vt:lpstr>
      <vt:lpstr>'3381'!School_District</vt:lpstr>
      <vt:lpstr>'3382'!School_District</vt:lpstr>
      <vt:lpstr>'3391'!School_District</vt:lpstr>
      <vt:lpstr>'3394'!School_District</vt:lpstr>
      <vt:lpstr>'3395'!School_District</vt:lpstr>
      <vt:lpstr>'3396'!School_District</vt:lpstr>
      <vt:lpstr>'3398'!School_District</vt:lpstr>
      <vt:lpstr>'3400'!School_District</vt:lpstr>
      <vt:lpstr>'3401'!School_District</vt:lpstr>
      <vt:lpstr>'3413'!School_District</vt:lpstr>
      <vt:lpstr>'3421'!School_District</vt:lpstr>
      <vt:lpstr>'3431'!School_District</vt:lpstr>
      <vt:lpstr>'3441'!School_District</vt:lpstr>
      <vt:lpstr>'3924'!School_District</vt:lpstr>
      <vt:lpstr>'3941'!School_District</vt:lpstr>
      <vt:lpstr>'3961'!School_District</vt:lpstr>
      <vt:lpstr>'3971'!School_District</vt:lpstr>
      <vt:lpstr>'4001'!School_District</vt:lpstr>
      <vt:lpstr>'4002'!School_District</vt:lpstr>
      <vt:lpstr>'4012'!School_District</vt:lpstr>
      <vt:lpstr>'4013'!School_District</vt:lpstr>
      <vt:lpstr>'4020'!School_District</vt:lpstr>
      <vt:lpstr>'4030'!School_District</vt:lpstr>
      <vt:lpstr>'4031'!School_District</vt:lpstr>
      <vt:lpstr>'4041'!School_District</vt:lpstr>
      <vt:lpstr>'4050'!School_District</vt:lpstr>
      <vt:lpstr>'4051'!School_District</vt:lpstr>
      <vt:lpstr>'4061'!School_District</vt:lpstr>
      <vt:lpstr>'4080'!School_District</vt:lpstr>
      <vt:lpstr>'4081'!School_District</vt:lpstr>
      <vt:lpstr>'4090'!School_District</vt:lpstr>
      <vt:lpstr>'4091'!School_District</vt:lpstr>
      <vt:lpstr>'4100'!School_District</vt:lpstr>
      <vt:lpstr>'4102'!School_District</vt:lpstr>
      <vt:lpstr>'4103'!School_District</vt:lpstr>
      <vt:lpstr>'4111'!School_District</vt:lpstr>
      <vt:lpstr>'4131'!School_District</vt:lpstr>
      <vt:lpstr>School_District</vt:lpstr>
      <vt:lpstr>'0100'!Total</vt:lpstr>
      <vt:lpstr>'1461'!Total</vt:lpstr>
      <vt:lpstr>'1571'!Total</vt:lpstr>
      <vt:lpstr>'2521'!Total</vt:lpstr>
      <vt:lpstr>'2531'!Total</vt:lpstr>
      <vt:lpstr>'2791'!Total</vt:lpstr>
      <vt:lpstr>'2801'!Total</vt:lpstr>
      <vt:lpstr>'2911'!Total</vt:lpstr>
      <vt:lpstr>'2941'!Total</vt:lpstr>
      <vt:lpstr>'3083'!Total</vt:lpstr>
      <vt:lpstr>'3345'!Total</vt:lpstr>
      <vt:lpstr>'3381'!Total</vt:lpstr>
      <vt:lpstr>'3382'!Total</vt:lpstr>
      <vt:lpstr>'3391'!Total</vt:lpstr>
      <vt:lpstr>'3394'!Total</vt:lpstr>
      <vt:lpstr>'3395'!Total</vt:lpstr>
      <vt:lpstr>'3396'!Total</vt:lpstr>
      <vt:lpstr>'3398'!Total</vt:lpstr>
      <vt:lpstr>'3400'!Total</vt:lpstr>
      <vt:lpstr>'3401'!Total</vt:lpstr>
      <vt:lpstr>'3413'!Total</vt:lpstr>
      <vt:lpstr>'3421'!Total</vt:lpstr>
      <vt:lpstr>'3431'!Total</vt:lpstr>
      <vt:lpstr>'3441'!Total</vt:lpstr>
      <vt:lpstr>'3924'!Total</vt:lpstr>
      <vt:lpstr>'3941'!Total</vt:lpstr>
      <vt:lpstr>'3961'!Total</vt:lpstr>
      <vt:lpstr>'3971'!Total</vt:lpstr>
      <vt:lpstr>'4001'!Total</vt:lpstr>
      <vt:lpstr>'4002'!Total</vt:lpstr>
      <vt:lpstr>'4012'!Total</vt:lpstr>
      <vt:lpstr>'4013'!Total</vt:lpstr>
      <vt:lpstr>'4020'!Total</vt:lpstr>
      <vt:lpstr>'4030'!Total</vt:lpstr>
      <vt:lpstr>'4031'!Total</vt:lpstr>
      <vt:lpstr>'4041'!Total</vt:lpstr>
      <vt:lpstr>'4050'!Total</vt:lpstr>
      <vt:lpstr>'4051'!Total</vt:lpstr>
      <vt:lpstr>'4061'!Total</vt:lpstr>
      <vt:lpstr>'4080'!Total</vt:lpstr>
      <vt:lpstr>'4081'!Total</vt:lpstr>
      <vt:lpstr>'4090'!Total</vt:lpstr>
      <vt:lpstr>'4091'!Total</vt:lpstr>
      <vt:lpstr>'4100'!Total</vt:lpstr>
      <vt:lpstr>'4102'!Total</vt:lpstr>
      <vt:lpstr>'4103'!Total</vt:lpstr>
      <vt:lpstr>'4111'!Total</vt:lpstr>
      <vt:lpstr>'4131'!Total</vt:lpstr>
      <vt:lpstr>Total</vt:lpstr>
      <vt:lpstr>'0100'!Total_Class_Size_Reduction_Funds</vt:lpstr>
      <vt:lpstr>'1461'!Total_Class_Size_Reduction_Funds</vt:lpstr>
      <vt:lpstr>'1571'!Total_Class_Size_Reduction_Funds</vt:lpstr>
      <vt:lpstr>'2521'!Total_Class_Size_Reduction_Funds</vt:lpstr>
      <vt:lpstr>'2531'!Total_Class_Size_Reduction_Funds</vt:lpstr>
      <vt:lpstr>'2791'!Total_Class_Size_Reduction_Funds</vt:lpstr>
      <vt:lpstr>'2801'!Total_Class_Size_Reduction_Funds</vt:lpstr>
      <vt:lpstr>'2911'!Total_Class_Size_Reduction_Funds</vt:lpstr>
      <vt:lpstr>'2941'!Total_Class_Size_Reduction_Funds</vt:lpstr>
      <vt:lpstr>'3083'!Total_Class_Size_Reduction_Funds</vt:lpstr>
      <vt:lpstr>'3345'!Total_Class_Size_Reduction_Funds</vt:lpstr>
      <vt:lpstr>'3381'!Total_Class_Size_Reduction_Funds</vt:lpstr>
      <vt:lpstr>'3382'!Total_Class_Size_Reduction_Funds</vt:lpstr>
      <vt:lpstr>'3391'!Total_Class_Size_Reduction_Funds</vt:lpstr>
      <vt:lpstr>'3394'!Total_Class_Size_Reduction_Funds</vt:lpstr>
      <vt:lpstr>'3395'!Total_Class_Size_Reduction_Funds</vt:lpstr>
      <vt:lpstr>'3396'!Total_Class_Size_Reduction_Funds</vt:lpstr>
      <vt:lpstr>'3398'!Total_Class_Size_Reduction_Funds</vt:lpstr>
      <vt:lpstr>'3400'!Total_Class_Size_Reduction_Funds</vt:lpstr>
      <vt:lpstr>'3401'!Total_Class_Size_Reduction_Funds</vt:lpstr>
      <vt:lpstr>'3413'!Total_Class_Size_Reduction_Funds</vt:lpstr>
      <vt:lpstr>'3421'!Total_Class_Size_Reduction_Funds</vt:lpstr>
      <vt:lpstr>'3431'!Total_Class_Size_Reduction_Funds</vt:lpstr>
      <vt:lpstr>'3441'!Total_Class_Size_Reduction_Funds</vt:lpstr>
      <vt:lpstr>'3924'!Total_Class_Size_Reduction_Funds</vt:lpstr>
      <vt:lpstr>'3941'!Total_Class_Size_Reduction_Funds</vt:lpstr>
      <vt:lpstr>'3961'!Total_Class_Size_Reduction_Funds</vt:lpstr>
      <vt:lpstr>'3971'!Total_Class_Size_Reduction_Funds</vt:lpstr>
      <vt:lpstr>'4001'!Total_Class_Size_Reduction_Funds</vt:lpstr>
      <vt:lpstr>'4002'!Total_Class_Size_Reduction_Funds</vt:lpstr>
      <vt:lpstr>'4012'!Total_Class_Size_Reduction_Funds</vt:lpstr>
      <vt:lpstr>'4013'!Total_Class_Size_Reduction_Funds</vt:lpstr>
      <vt:lpstr>'4020'!Total_Class_Size_Reduction_Funds</vt:lpstr>
      <vt:lpstr>'4030'!Total_Class_Size_Reduction_Funds</vt:lpstr>
      <vt:lpstr>'4031'!Total_Class_Size_Reduction_Funds</vt:lpstr>
      <vt:lpstr>'4041'!Total_Class_Size_Reduction_Funds</vt:lpstr>
      <vt:lpstr>'4050'!Total_Class_Size_Reduction_Funds</vt:lpstr>
      <vt:lpstr>'4051'!Total_Class_Size_Reduction_Funds</vt:lpstr>
      <vt:lpstr>'4061'!Total_Class_Size_Reduction_Funds</vt:lpstr>
      <vt:lpstr>'4080'!Total_Class_Size_Reduction_Funds</vt:lpstr>
      <vt:lpstr>'4081'!Total_Class_Size_Reduction_Funds</vt:lpstr>
      <vt:lpstr>'4090'!Total_Class_Size_Reduction_Funds</vt:lpstr>
      <vt:lpstr>'4091'!Total_Class_Size_Reduction_Funds</vt:lpstr>
      <vt:lpstr>'4100'!Total_Class_Size_Reduction_Funds</vt:lpstr>
      <vt:lpstr>'4102'!Total_Class_Size_Reduction_Funds</vt:lpstr>
      <vt:lpstr>'4103'!Total_Class_Size_Reduction_Funds</vt:lpstr>
      <vt:lpstr>'4111'!Total_Class_Size_Reduction_Funds</vt:lpstr>
      <vt:lpstr>'4131'!Total_Class_Size_Reduction_Funds</vt:lpstr>
      <vt:lpstr>Total_Class_Size_Reduction_Funds</vt:lpstr>
      <vt:lpstr>'0100'!Totals</vt:lpstr>
      <vt:lpstr>'1461'!Totals</vt:lpstr>
      <vt:lpstr>'1571'!Totals</vt:lpstr>
      <vt:lpstr>'2521'!Totals</vt:lpstr>
      <vt:lpstr>'2531'!Totals</vt:lpstr>
      <vt:lpstr>'2791'!Totals</vt:lpstr>
      <vt:lpstr>'2801'!Totals</vt:lpstr>
      <vt:lpstr>'2911'!Totals</vt:lpstr>
      <vt:lpstr>'2941'!Totals</vt:lpstr>
      <vt:lpstr>'3083'!Totals</vt:lpstr>
      <vt:lpstr>'3345'!Totals</vt:lpstr>
      <vt:lpstr>'3381'!Totals</vt:lpstr>
      <vt:lpstr>'3382'!Totals</vt:lpstr>
      <vt:lpstr>'3391'!Totals</vt:lpstr>
      <vt:lpstr>'3394'!Totals</vt:lpstr>
      <vt:lpstr>'3395'!Totals</vt:lpstr>
      <vt:lpstr>'3396'!Totals</vt:lpstr>
      <vt:lpstr>'3398'!Totals</vt:lpstr>
      <vt:lpstr>'3400'!Totals</vt:lpstr>
      <vt:lpstr>'3401'!Totals</vt:lpstr>
      <vt:lpstr>'3413'!Totals</vt:lpstr>
      <vt:lpstr>'3421'!Totals</vt:lpstr>
      <vt:lpstr>'3431'!Totals</vt:lpstr>
      <vt:lpstr>'3441'!Totals</vt:lpstr>
      <vt:lpstr>'3924'!Totals</vt:lpstr>
      <vt:lpstr>'3941'!Totals</vt:lpstr>
      <vt:lpstr>'3961'!Totals</vt:lpstr>
      <vt:lpstr>'3971'!Totals</vt:lpstr>
      <vt:lpstr>'4001'!Totals</vt:lpstr>
      <vt:lpstr>'4002'!Totals</vt:lpstr>
      <vt:lpstr>'4012'!Totals</vt:lpstr>
      <vt:lpstr>'4013'!Totals</vt:lpstr>
      <vt:lpstr>'4020'!Totals</vt:lpstr>
      <vt:lpstr>'4030'!Totals</vt:lpstr>
      <vt:lpstr>'4031'!Totals</vt:lpstr>
      <vt:lpstr>'4041'!Totals</vt:lpstr>
      <vt:lpstr>'4050'!Totals</vt:lpstr>
      <vt:lpstr>'4051'!Totals</vt:lpstr>
      <vt:lpstr>'4061'!Totals</vt:lpstr>
      <vt:lpstr>'4080'!Totals</vt:lpstr>
      <vt:lpstr>'4081'!Totals</vt:lpstr>
      <vt:lpstr>'4090'!Totals</vt:lpstr>
      <vt:lpstr>'4091'!Totals</vt:lpstr>
      <vt:lpstr>'4100'!Totals</vt:lpstr>
      <vt:lpstr>'4102'!Totals</vt:lpstr>
      <vt:lpstr>'4103'!Totals</vt:lpstr>
      <vt:lpstr>'4111'!Totals</vt:lpstr>
      <vt:lpstr>'4131'!Totals</vt:lpstr>
      <vt:lpstr>Totals</vt:lpstr>
      <vt:lpstr>'0100'!Weighted_FTE____________b__x__c</vt:lpstr>
      <vt:lpstr>'1461'!Weighted_FTE____________b__x__c</vt:lpstr>
      <vt:lpstr>'1571'!Weighted_FTE____________b__x__c</vt:lpstr>
      <vt:lpstr>'2521'!Weighted_FTE____________b__x__c</vt:lpstr>
      <vt:lpstr>'2531'!Weighted_FTE____________b__x__c</vt:lpstr>
      <vt:lpstr>'2791'!Weighted_FTE____________b__x__c</vt:lpstr>
      <vt:lpstr>'2801'!Weighted_FTE____________b__x__c</vt:lpstr>
      <vt:lpstr>'2911'!Weighted_FTE____________b__x__c</vt:lpstr>
      <vt:lpstr>'2941'!Weighted_FTE____________b__x__c</vt:lpstr>
      <vt:lpstr>'3083'!Weighted_FTE____________b__x__c</vt:lpstr>
      <vt:lpstr>'3345'!Weighted_FTE____________b__x__c</vt:lpstr>
      <vt:lpstr>'3381'!Weighted_FTE____________b__x__c</vt:lpstr>
      <vt:lpstr>'3382'!Weighted_FTE____________b__x__c</vt:lpstr>
      <vt:lpstr>'3391'!Weighted_FTE____________b__x__c</vt:lpstr>
      <vt:lpstr>'3394'!Weighted_FTE____________b__x__c</vt:lpstr>
      <vt:lpstr>'3395'!Weighted_FTE____________b__x__c</vt:lpstr>
      <vt:lpstr>'3396'!Weighted_FTE____________b__x__c</vt:lpstr>
      <vt:lpstr>'3398'!Weighted_FTE____________b__x__c</vt:lpstr>
      <vt:lpstr>'3400'!Weighted_FTE____________b__x__c</vt:lpstr>
      <vt:lpstr>'3401'!Weighted_FTE____________b__x__c</vt:lpstr>
      <vt:lpstr>'3413'!Weighted_FTE____________b__x__c</vt:lpstr>
      <vt:lpstr>'3421'!Weighted_FTE____________b__x__c</vt:lpstr>
      <vt:lpstr>'3431'!Weighted_FTE____________b__x__c</vt:lpstr>
      <vt:lpstr>'3441'!Weighted_FTE____________b__x__c</vt:lpstr>
      <vt:lpstr>'3924'!Weighted_FTE____________b__x__c</vt:lpstr>
      <vt:lpstr>'3941'!Weighted_FTE____________b__x__c</vt:lpstr>
      <vt:lpstr>'3961'!Weighted_FTE____________b__x__c</vt:lpstr>
      <vt:lpstr>'3971'!Weighted_FTE____________b__x__c</vt:lpstr>
      <vt:lpstr>'4001'!Weighted_FTE____________b__x__c</vt:lpstr>
      <vt:lpstr>'4002'!Weighted_FTE____________b__x__c</vt:lpstr>
      <vt:lpstr>'4012'!Weighted_FTE____________b__x__c</vt:lpstr>
      <vt:lpstr>'4013'!Weighted_FTE____________b__x__c</vt:lpstr>
      <vt:lpstr>'4020'!Weighted_FTE____________b__x__c</vt:lpstr>
      <vt:lpstr>'4030'!Weighted_FTE____________b__x__c</vt:lpstr>
      <vt:lpstr>'4031'!Weighted_FTE____________b__x__c</vt:lpstr>
      <vt:lpstr>'4041'!Weighted_FTE____________b__x__c</vt:lpstr>
      <vt:lpstr>'4050'!Weighted_FTE____________b__x__c</vt:lpstr>
      <vt:lpstr>'4051'!Weighted_FTE____________b__x__c</vt:lpstr>
      <vt:lpstr>'4061'!Weighted_FTE____________b__x__c</vt:lpstr>
      <vt:lpstr>'4080'!Weighted_FTE____________b__x__c</vt:lpstr>
      <vt:lpstr>'4081'!Weighted_FTE____________b__x__c</vt:lpstr>
      <vt:lpstr>'4090'!Weighted_FTE____________b__x__c</vt:lpstr>
      <vt:lpstr>'4091'!Weighted_FTE____________b__x__c</vt:lpstr>
      <vt:lpstr>'4100'!Weighted_FTE____________b__x__c</vt:lpstr>
      <vt:lpstr>'4102'!Weighted_FTE____________b__x__c</vt:lpstr>
      <vt:lpstr>'4103'!Weighted_FTE____________b__x__c</vt:lpstr>
      <vt:lpstr>'4111'!Weighted_FTE____________b__x__c</vt:lpstr>
      <vt:lpstr>'4131'!Weighted_FTE____________b__x__c</vt:lpstr>
      <vt:lpstr>Weighted_FTE____________b__x__c</vt:lpstr>
      <vt:lpstr>'0100'!Weighted_FTE__From_Section_1</vt:lpstr>
      <vt:lpstr>'1461'!Weighted_FTE__From_Section_1</vt:lpstr>
      <vt:lpstr>'1571'!Weighted_FTE__From_Section_1</vt:lpstr>
      <vt:lpstr>'2521'!Weighted_FTE__From_Section_1</vt:lpstr>
      <vt:lpstr>'2531'!Weighted_FTE__From_Section_1</vt:lpstr>
      <vt:lpstr>'2791'!Weighted_FTE__From_Section_1</vt:lpstr>
      <vt:lpstr>'2801'!Weighted_FTE__From_Section_1</vt:lpstr>
      <vt:lpstr>'2911'!Weighted_FTE__From_Section_1</vt:lpstr>
      <vt:lpstr>'2941'!Weighted_FTE__From_Section_1</vt:lpstr>
      <vt:lpstr>'3083'!Weighted_FTE__From_Section_1</vt:lpstr>
      <vt:lpstr>'3345'!Weighted_FTE__From_Section_1</vt:lpstr>
      <vt:lpstr>'3381'!Weighted_FTE__From_Section_1</vt:lpstr>
      <vt:lpstr>'3382'!Weighted_FTE__From_Section_1</vt:lpstr>
      <vt:lpstr>'3391'!Weighted_FTE__From_Section_1</vt:lpstr>
      <vt:lpstr>'3394'!Weighted_FTE__From_Section_1</vt:lpstr>
      <vt:lpstr>'3395'!Weighted_FTE__From_Section_1</vt:lpstr>
      <vt:lpstr>'3396'!Weighted_FTE__From_Section_1</vt:lpstr>
      <vt:lpstr>'3398'!Weighted_FTE__From_Section_1</vt:lpstr>
      <vt:lpstr>'3400'!Weighted_FTE__From_Section_1</vt:lpstr>
      <vt:lpstr>'3401'!Weighted_FTE__From_Section_1</vt:lpstr>
      <vt:lpstr>'3413'!Weighted_FTE__From_Section_1</vt:lpstr>
      <vt:lpstr>'3421'!Weighted_FTE__From_Section_1</vt:lpstr>
      <vt:lpstr>'3431'!Weighted_FTE__From_Section_1</vt:lpstr>
      <vt:lpstr>'3441'!Weighted_FTE__From_Section_1</vt:lpstr>
      <vt:lpstr>'3924'!Weighted_FTE__From_Section_1</vt:lpstr>
      <vt:lpstr>'3941'!Weighted_FTE__From_Section_1</vt:lpstr>
      <vt:lpstr>'3961'!Weighted_FTE__From_Section_1</vt:lpstr>
      <vt:lpstr>'3971'!Weighted_FTE__From_Section_1</vt:lpstr>
      <vt:lpstr>'4001'!Weighted_FTE__From_Section_1</vt:lpstr>
      <vt:lpstr>'4002'!Weighted_FTE__From_Section_1</vt:lpstr>
      <vt:lpstr>'4012'!Weighted_FTE__From_Section_1</vt:lpstr>
      <vt:lpstr>'4013'!Weighted_FTE__From_Section_1</vt:lpstr>
      <vt:lpstr>'4020'!Weighted_FTE__From_Section_1</vt:lpstr>
      <vt:lpstr>'4030'!Weighted_FTE__From_Section_1</vt:lpstr>
      <vt:lpstr>'4031'!Weighted_FTE__From_Section_1</vt:lpstr>
      <vt:lpstr>'4041'!Weighted_FTE__From_Section_1</vt:lpstr>
      <vt:lpstr>'4050'!Weighted_FTE__From_Section_1</vt:lpstr>
      <vt:lpstr>'4051'!Weighted_FTE__From_Section_1</vt:lpstr>
      <vt:lpstr>'4061'!Weighted_FTE__From_Section_1</vt:lpstr>
      <vt:lpstr>'4080'!Weighted_FTE__From_Section_1</vt:lpstr>
      <vt:lpstr>'4081'!Weighted_FTE__From_Section_1</vt:lpstr>
      <vt:lpstr>'4090'!Weighted_FTE__From_Section_1</vt:lpstr>
      <vt:lpstr>'4091'!Weighted_FTE__From_Section_1</vt:lpstr>
      <vt:lpstr>'4100'!Weighted_FTE__From_Section_1</vt:lpstr>
      <vt:lpstr>'4102'!Weighted_FTE__From_Section_1</vt:lpstr>
      <vt:lpstr>'4103'!Weighted_FTE__From_Section_1</vt:lpstr>
      <vt:lpstr>'4111'!Weighted_FTE__From_Section_1</vt:lpstr>
      <vt:lpstr>'4131'!Weighted_FTE__From_Section_1</vt:lpstr>
      <vt:lpstr>Weighted_FTE__From_Section_1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 Passelli</dc:creator>
  <cp:lastModifiedBy>Frederick Passelli</cp:lastModifiedBy>
  <dcterms:created xsi:type="dcterms:W3CDTF">2015-06-05T18:17:20Z</dcterms:created>
  <dcterms:modified xsi:type="dcterms:W3CDTF">2025-09-10T14:00:26Z</dcterms:modified>
</cp:coreProperties>
</file>